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<sst xmlns="http://schemas.openxmlformats.org/spreadsheetml/2006/main" count="97" uniqueCount="83">
  <si>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>18+ bij nieuwe Belgen</t>
  </si>
  <si>
    <t>Kanton Antwerpen</t>
  </si>
  <si>
    <t>Kanton Mechelen</t>
  </si>
  <si>
    <t>Kanton</t>
  </si>
  <si>
    <t>18+ bij verhuizing</t>
  </si>
  <si>
    <t>Antwerpen</t>
  </si>
  <si>
    <t>Zwijndr.</t>
  </si>
  <si>
    <t>Totaal</t>
  </si>
  <si>
    <t>Mechelen</t>
  </si>
  <si>
    <t>Willebroek</t>
  </si>
  <si>
    <t>Gent</t>
  </si>
  <si>
    <t>1.</t>
  </si>
  <si>
    <t>Totale bevolking 1/1/2006</t>
  </si>
  <si>
    <t>2.</t>
  </si>
  <si>
    <t>Evolutie kiesgerechtigden 2003 - 2007</t>
  </si>
  <si>
    <t>Kiesgerechtigden telling 03/2003</t>
  </si>
  <si>
    <t>Kiesgerechtigden telling 04/2007</t>
  </si>
  <si>
    <t>Verschil</t>
  </si>
  <si>
    <t>% kiesgerechtigd 2007 op bevolking 2006</t>
  </si>
  <si>
    <t>3. Demografische bewegingen Belgen 18+  (1)</t>
  </si>
  <si>
    <t>Schrapping uit de kieslijsten</t>
  </si>
  <si>
    <t>Overlijdens 2003-2006 (op vier jaar) (2)</t>
  </si>
  <si>
    <t>Verhuisd uit  de stad naar binnenland</t>
  </si>
  <si>
    <t>Verhuisd uit de stad naar buitenland</t>
  </si>
  <si>
    <t>Ambshalve schrappingen uit de stad (3)</t>
  </si>
  <si>
    <t>Totaal schrapping Belgen uit kieslijsten</t>
  </si>
  <si>
    <t>Nieuwe inschrijving in de kieslijsten</t>
  </si>
  <si>
    <t>Verhuisd naar de stad uit binnenland</t>
  </si>
  <si>
    <t>Verhuisd naar de stad uit  buitenland</t>
  </si>
  <si>
    <t>Doorgroei van wie 14-17 jaar was in 2003</t>
  </si>
  <si>
    <t xml:space="preserve">Nationaliteisveranderingen in de stad </t>
  </si>
  <si>
    <t>Ambshalve inschrijvingen in de stad (4)</t>
  </si>
  <si>
    <t>Totaal nieuwe inschrijving in kieslijsten</t>
  </si>
  <si>
    <t>3. Saldo uit- en inschrijving kieslijsten</t>
  </si>
  <si>
    <t xml:space="preserve">Overlijdens </t>
  </si>
  <si>
    <t>Verhuissaldo binnenland</t>
  </si>
  <si>
    <t>Verhuissaldo buitenland</t>
  </si>
  <si>
    <t>Doorgroei 14-17-jarigen</t>
  </si>
  <si>
    <t>Nationaliteitsverwerving</t>
  </si>
  <si>
    <t>Saldo herinschrijving/schrapping</t>
  </si>
  <si>
    <t>Totaal saldo</t>
  </si>
  <si>
    <t xml:space="preserve">4. </t>
  </si>
  <si>
    <t>Verschil tav effectieve kiesgerechtigden</t>
  </si>
  <si>
    <t>4.</t>
  </si>
  <si>
    <t>% nieuwe kiezers op kiesgerechtigden 2007</t>
  </si>
  <si>
    <t>1. Van andere Belgisch gemeente naar de stad</t>
  </si>
  <si>
    <t>Vanuit België verhuisd naar de stad</t>
  </si>
  <si>
    <t>Vanuit het  buitenland naar de stad</t>
  </si>
  <si>
    <t>Herinschrijving na schrapping</t>
  </si>
  <si>
    <t>3.</t>
  </si>
  <si>
    <t>Doorgroei 14-17 jarigen - oude Belgen (5)</t>
  </si>
  <si>
    <t>5.</t>
  </si>
  <si>
    <t>Doorgroei 14-17 jarigen - nieuwe Belgen (5)</t>
  </si>
  <si>
    <t>6.</t>
  </si>
  <si>
    <t>Van vreemdeling naar Belg tussen 03-07</t>
  </si>
  <si>
    <t>Totaal nieuwe kiezers op kiesgerechtigden</t>
  </si>
  <si>
    <t>5. % verlies aan kiesgerechtigden 2007 door</t>
  </si>
  <si>
    <t>Overlijdens  - 14-17 jarigen 2003</t>
  </si>
  <si>
    <t>Saldo in-uitschrijving zonder nat.verwerving</t>
  </si>
  <si>
    <t>Totaal nieuwe Belgen bij de kiesgerechtigden</t>
  </si>
  <si>
    <t>Bijkomende nieuwe Belgen na 2003</t>
  </si>
  <si>
    <t>Nieuwe Belgen van voor 2003</t>
  </si>
  <si>
    <t>Totaal nieuwe Belgen 18+ op 1/1/07</t>
  </si>
  <si>
    <t>Uitslagen Vlaams Belang</t>
  </si>
  <si>
    <t>Uitslag kamer 1999</t>
  </si>
  <si>
    <t>Uitslag Vlaams parlement 1999</t>
  </si>
  <si>
    <t>Uitslag gemeenteraad 2000</t>
  </si>
  <si>
    <t>Uitslag kamer 2003</t>
  </si>
  <si>
    <t>Uitslag Vlaams parlement 2004</t>
  </si>
  <si>
    <t>Uitslag Gemeenteraadsverkiezingen 2006</t>
  </si>
  <si>
    <t>Uitslag kamer 2007</t>
  </si>
  <si>
    <t>7.</t>
  </si>
  <si>
    <r>
      <t xml:space="preserve">Maximale impact bijkomende NB op VB </t>
    </r>
    <r>
      <rPr>
        <sz val="9"/>
        <rFont val="Arial"/>
        <family val="2"/>
      </rPr>
      <t>(6)</t>
    </r>
  </si>
  <si>
    <t>Van de bijkomende nieuwe Belgen 03-07</t>
  </si>
  <si>
    <t>Van de nieuwe Belgen van voor 2003</t>
  </si>
  <si>
    <t>Totaal impact nieuwe Belgen op uitslag VB</t>
  </si>
  <si>
    <t>(1) Gegevens 2003, 2004, 2005. Voor 2006 werden de gegevens van 2005 doorgetrokken</t>
  </si>
  <si>
    <t>(2) Hypothese 95% overlijdens na de leeftijd van 18 jaar</t>
  </si>
  <si>
    <t>(3) Na verschillende oproepen niet meer op adres in de gemeente</t>
  </si>
  <si>
    <t>(4) Vaststelling van feitelijk verblijf in de gemeente</t>
  </si>
  <si>
    <t>(5) Voortgaande op 25% nieuwe Belgen in de leeftijdsgroep18-21 jaar</t>
  </si>
  <si>
    <t>(6) Verlies VB wanneer nieuwe Belgen sinds 2003 geen stem uitbrengen op het Vlaams Belang</t>
  </si>
  <si>
    <r>
      <t xml:space="preserve">Bevolkingsevoluties Belgen en bijkomende nieuwe Belgen in enkel kantons - Federale verkiezingen - 2007               </t>
    </r>
    <r>
      <rPr>
        <b/>
        <i/>
        <sz val="9"/>
        <rFont val="Arial"/>
        <family val="2"/>
      </rPr>
      <t xml:space="preserve"> Simulatiemogelijkheid % 18+ biuj nieuwe Belgen en bij verhuizing in groene vakjes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</si>
</sst>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9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9" fontId="0" fillId="3" borderId="3" xfId="0" applyNumberForma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9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9" fontId="0" fillId="2" borderId="0" xfId="0" applyNumberForma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2" xfId="0" applyNumberFormat="1" applyFill="1" applyBorder="1" applyAlignment="1">
      <alignment horizontal="right" wrapText="1"/>
    </xf>
    <xf numFmtId="3" fontId="0" fillId="2" borderId="10" xfId="0" applyNumberFormat="1" applyFill="1" applyBorder="1" applyAlignment="1">
      <alignment horizontal="right" wrapText="1"/>
    </xf>
    <xf numFmtId="3" fontId="0" fillId="2" borderId="7" xfId="0" applyNumberFormat="1" applyFill="1" applyBorder="1" applyAlignment="1">
      <alignment horizontal="right" wrapText="1"/>
    </xf>
    <xf numFmtId="3" fontId="0" fillId="2" borderId="11" xfId="0" applyNumberFormat="1" applyFill="1" applyBorder="1" applyAlignment="1">
      <alignment horizontal="right" wrapText="1"/>
    </xf>
    <xf numFmtId="0" fontId="0" fillId="2" borderId="8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9" fontId="1" fillId="2" borderId="7" xfId="0" applyNumberFormat="1" applyFont="1" applyFill="1" applyBorder="1" applyAlignment="1">
      <alignment/>
    </xf>
    <xf numFmtId="9" fontId="1" fillId="2" borderId="3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15" xfId="0" applyBorder="1" applyAlignment="1">
      <alignment/>
    </xf>
    <xf numFmtId="164" fontId="1" fillId="2" borderId="15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15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5" xfId="0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1" fillId="2" borderId="2" xfId="0" applyNumberFormat="1" applyFont="1" applyFill="1" applyBorder="1" applyAlignment="1">
      <alignment/>
    </xf>
    <xf numFmtId="10" fontId="0" fillId="2" borderId="10" xfId="0" applyNumberForma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12" xfId="0" applyNumberFormat="1" applyFont="1" applyFill="1" applyBorder="1" applyAlignment="1">
      <alignment/>
    </xf>
    <xf numFmtId="10" fontId="0" fillId="2" borderId="10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10" fontId="1" fillId="2" borderId="12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10" fontId="1" fillId="2" borderId="13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10" fontId="1" fillId="2" borderId="8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10" fontId="1" fillId="2" borderId="9" xfId="0" applyNumberFormat="1" applyFont="1" applyFill="1" applyBorder="1" applyAlignment="1">
      <alignment/>
    </xf>
    <xf numFmtId="10" fontId="1" fillId="2" borderId="11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64" fontId="0" fillId="2" borderId="15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A1" sqref="A1:L1"/>
    </sheetView>
  </sheetViews>
  <sheetFormatPr defaultColWidth="9.140625" defaultRowHeight="12"/>
  <cols>
    <col min="1" max="2" width="2.28125" style="0" customWidth="1"/>
    <col min="3" max="3" width="2.00390625" style="0" customWidth="1"/>
    <col min="4" max="4" width="6.140625" style="0" customWidth="1"/>
    <col min="5" max="5" width="27.00390625" style="0" customWidth="1"/>
    <col min="6" max="6" width="9.28125" style="0" customWidth="1"/>
    <col min="7" max="7" width="7.57421875" style="0" customWidth="1"/>
    <col min="8" max="8" width="8.421875" style="0" customWidth="1"/>
    <col min="9" max="9" width="8.57421875" style="0" customWidth="1"/>
    <col min="10" max="10" width="9.00390625" style="0" customWidth="1"/>
    <col min="11" max="11" width="7.140625" style="0" customWidth="1"/>
    <col min="12" max="12" width="7.57421875" style="0" customWidth="1"/>
    <col min="16" max="16" width="9.7109375" style="0" bestFit="1" customWidth="1"/>
  </cols>
  <sheetData>
    <row r="1" spans="1:18" ht="24.75" customHeight="1">
      <c r="A1" s="157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9"/>
      <c r="Q1" s="159"/>
      <c r="R1" s="159"/>
    </row>
    <row r="2" spans="1:18" ht="12">
      <c r="A2" s="1"/>
      <c r="B2" s="2"/>
      <c r="C2" s="2"/>
      <c r="D2" s="3">
        <v>0.75</v>
      </c>
      <c r="E2" s="2" t="s">
        <v>0</v>
      </c>
      <c r="F2" s="4" t="s">
        <v>1</v>
      </c>
      <c r="G2" s="5"/>
      <c r="H2" s="6"/>
      <c r="I2" s="4" t="s">
        <v>2</v>
      </c>
      <c r="J2" s="5"/>
      <c r="K2" s="5"/>
      <c r="L2" s="7" t="s">
        <v>3</v>
      </c>
      <c r="M2" s="160"/>
      <c r="N2" s="160"/>
      <c r="O2" s="159"/>
      <c r="P2" s="159"/>
      <c r="Q2" s="159"/>
      <c r="R2" s="159"/>
    </row>
    <row r="3" spans="1:18" ht="12">
      <c r="A3" s="8"/>
      <c r="B3" s="9"/>
      <c r="C3" s="9"/>
      <c r="D3" s="3">
        <v>0.75</v>
      </c>
      <c r="E3" s="10" t="s">
        <v>4</v>
      </c>
      <c r="F3" s="11" t="s">
        <v>5</v>
      </c>
      <c r="G3" s="12" t="s">
        <v>6</v>
      </c>
      <c r="H3" s="7" t="s">
        <v>7</v>
      </c>
      <c r="I3" s="13" t="s">
        <v>8</v>
      </c>
      <c r="J3" s="14" t="s">
        <v>9</v>
      </c>
      <c r="K3" s="15" t="s">
        <v>7</v>
      </c>
      <c r="L3" s="16" t="s">
        <v>10</v>
      </c>
      <c r="M3" s="159"/>
      <c r="N3" s="159"/>
      <c r="O3" s="159"/>
      <c r="P3" s="159"/>
      <c r="Q3" s="159"/>
      <c r="R3" s="159"/>
    </row>
    <row r="4" spans="1:18" ht="12">
      <c r="A4" s="17" t="s">
        <v>11</v>
      </c>
      <c r="B4" s="18" t="s">
        <v>12</v>
      </c>
      <c r="C4" s="18"/>
      <c r="D4" s="18"/>
      <c r="E4" s="18"/>
      <c r="F4" s="19">
        <v>402164</v>
      </c>
      <c r="G4" s="20">
        <v>17781</v>
      </c>
      <c r="H4" s="21">
        <f>F4+G4</f>
        <v>419945</v>
      </c>
      <c r="I4" s="20">
        <v>72658</v>
      </c>
      <c r="J4" s="20">
        <v>23044</v>
      </c>
      <c r="K4" s="19">
        <f>I4+J4</f>
        <v>95702</v>
      </c>
      <c r="L4" s="22">
        <v>233120</v>
      </c>
      <c r="M4" s="159"/>
      <c r="N4" s="159"/>
      <c r="O4" s="159"/>
      <c r="P4" s="159"/>
      <c r="Q4" s="159"/>
      <c r="R4" s="159"/>
    </row>
    <row r="5" spans="1:18" ht="12">
      <c r="A5" s="17" t="s">
        <v>13</v>
      </c>
      <c r="B5" s="18" t="s">
        <v>14</v>
      </c>
      <c r="C5" s="18"/>
      <c r="D5" s="18"/>
      <c r="E5" s="23"/>
      <c r="F5" s="24"/>
      <c r="G5" s="25"/>
      <c r="H5" s="26"/>
      <c r="I5" s="27"/>
      <c r="J5" s="28"/>
      <c r="K5" s="19"/>
      <c r="L5" s="29"/>
      <c r="M5" s="159"/>
      <c r="N5" s="159"/>
      <c r="O5" s="159"/>
      <c r="P5" s="159"/>
      <c r="Q5" s="159"/>
      <c r="R5" s="159"/>
    </row>
    <row r="6" spans="1:18" ht="12">
      <c r="A6" s="30"/>
      <c r="B6" s="31" t="s">
        <v>15</v>
      </c>
      <c r="C6" s="31"/>
      <c r="D6" s="31"/>
      <c r="E6" s="31"/>
      <c r="F6" s="32"/>
      <c r="G6" s="33"/>
      <c r="H6" s="34">
        <v>335240</v>
      </c>
      <c r="I6" s="35"/>
      <c r="J6" s="31"/>
      <c r="K6" s="35">
        <v>73009</v>
      </c>
      <c r="L6" s="36">
        <v>171672</v>
      </c>
      <c r="M6" s="159"/>
      <c r="N6" s="159"/>
      <c r="O6" s="159"/>
      <c r="P6" s="159"/>
      <c r="Q6" s="159"/>
      <c r="R6" s="159"/>
    </row>
    <row r="7" spans="1:18" ht="12">
      <c r="A7" s="30"/>
      <c r="B7" s="31" t="s">
        <v>16</v>
      </c>
      <c r="C7" s="31"/>
      <c r="D7" s="31"/>
      <c r="E7" s="31"/>
      <c r="F7" s="32"/>
      <c r="G7" s="33"/>
      <c r="H7" s="34">
        <v>333368</v>
      </c>
      <c r="I7" s="35"/>
      <c r="J7" s="31"/>
      <c r="K7" s="35">
        <v>75439</v>
      </c>
      <c r="L7" s="37">
        <v>173475</v>
      </c>
      <c r="M7" s="159"/>
      <c r="N7" s="159"/>
      <c r="O7" s="159"/>
      <c r="P7" s="159"/>
      <c r="Q7" s="159"/>
      <c r="R7" s="159"/>
    </row>
    <row r="8" spans="1:18" ht="12">
      <c r="A8" s="38"/>
      <c r="B8" s="18" t="s">
        <v>17</v>
      </c>
      <c r="C8" s="18"/>
      <c r="D8" s="28"/>
      <c r="E8" s="28"/>
      <c r="F8" s="19"/>
      <c r="G8" s="39"/>
      <c r="H8" s="40">
        <f>H7-H6</f>
        <v>-1872</v>
      </c>
      <c r="I8" s="27"/>
      <c r="J8" s="28"/>
      <c r="K8" s="41">
        <f>K7-K6</f>
        <v>2430</v>
      </c>
      <c r="L8" s="40">
        <f>L7-L6</f>
        <v>1803</v>
      </c>
      <c r="M8" s="159"/>
      <c r="N8" s="159"/>
      <c r="O8" s="159"/>
      <c r="P8" s="159"/>
      <c r="Q8" s="159"/>
      <c r="R8" s="159"/>
    </row>
    <row r="9" spans="1:18" ht="12">
      <c r="A9" s="38"/>
      <c r="B9" s="18" t="s">
        <v>18</v>
      </c>
      <c r="C9" s="18"/>
      <c r="D9" s="28"/>
      <c r="E9" s="28"/>
      <c r="F9" s="42"/>
      <c r="G9" s="43"/>
      <c r="H9" s="44">
        <f>H7/H4</f>
        <v>0.793837288216314</v>
      </c>
      <c r="I9" s="27"/>
      <c r="J9" s="28"/>
      <c r="K9" s="45">
        <f>K7/K4</f>
        <v>0.7882698376209484</v>
      </c>
      <c r="L9" s="45">
        <f>L7/L4</f>
        <v>0.7441446465339739</v>
      </c>
      <c r="M9" s="159"/>
      <c r="N9" s="159"/>
      <c r="O9" s="159"/>
      <c r="P9" s="159"/>
      <c r="Q9" s="159"/>
      <c r="R9" s="159"/>
    </row>
    <row r="10" spans="1:18" ht="12">
      <c r="A10" s="17" t="s">
        <v>19</v>
      </c>
      <c r="B10" s="18"/>
      <c r="C10" s="18"/>
      <c r="D10" s="18"/>
      <c r="E10" s="28"/>
      <c r="F10" s="42"/>
      <c r="G10" s="43"/>
      <c r="H10" s="46"/>
      <c r="I10" s="2"/>
      <c r="J10" s="2"/>
      <c r="K10" s="47"/>
      <c r="L10" s="48"/>
      <c r="M10" s="159"/>
      <c r="N10" s="159"/>
      <c r="O10" s="159"/>
      <c r="P10" s="159"/>
      <c r="Q10" s="159"/>
      <c r="R10" s="159"/>
    </row>
    <row r="11" spans="1:18" ht="12">
      <c r="A11" s="49"/>
      <c r="B11" s="50" t="s">
        <v>11</v>
      </c>
      <c r="C11" s="50" t="s">
        <v>20</v>
      </c>
      <c r="D11" s="50"/>
      <c r="E11" s="2"/>
      <c r="F11" s="19"/>
      <c r="G11" s="39"/>
      <c r="H11" s="40"/>
      <c r="I11" s="28"/>
      <c r="J11" s="28"/>
      <c r="K11" s="40"/>
      <c r="L11" s="51"/>
      <c r="M11" s="159"/>
      <c r="N11" s="159"/>
      <c r="O11" s="159"/>
      <c r="P11" s="159"/>
      <c r="Q11" s="159"/>
      <c r="R11" s="159"/>
    </row>
    <row r="12" spans="1:18" ht="12">
      <c r="A12" s="49"/>
      <c r="B12" s="2"/>
      <c r="C12" s="52" t="s">
        <v>21</v>
      </c>
      <c r="D12" s="52"/>
      <c r="E12" s="50"/>
      <c r="F12" s="53">
        <f>-19623*0.95</f>
        <v>-18641.85</v>
      </c>
      <c r="G12" s="54">
        <f>-788*0.95</f>
        <v>-748.5999999999999</v>
      </c>
      <c r="H12" s="55">
        <f>F12+G12</f>
        <v>-19390.449999999997</v>
      </c>
      <c r="I12" s="54">
        <f>-3069*0.95</f>
        <v>-2915.5499999999997</v>
      </c>
      <c r="J12" s="54">
        <f>-943*0.95</f>
        <v>-895.8499999999999</v>
      </c>
      <c r="K12" s="55">
        <f>I12+J12</f>
        <v>-3811.3999999999996</v>
      </c>
      <c r="L12" s="56">
        <f>-9199*0.95</f>
        <v>-8739.05</v>
      </c>
      <c r="M12" s="159"/>
      <c r="N12" s="159"/>
      <c r="O12" s="159"/>
      <c r="P12" s="159"/>
      <c r="Q12" s="159"/>
      <c r="R12" s="159"/>
    </row>
    <row r="13" spans="1:18" ht="12">
      <c r="A13" s="57"/>
      <c r="B13" s="31"/>
      <c r="C13" s="58" t="s">
        <v>22</v>
      </c>
      <c r="D13" s="58"/>
      <c r="E13" s="59"/>
      <c r="F13" s="32">
        <f>-55170*D3</f>
        <v>-41377.5</v>
      </c>
      <c r="G13" s="33">
        <f>-2785*D3</f>
        <v>-2088.75</v>
      </c>
      <c r="H13" s="55">
        <f>F13+G13</f>
        <v>-43466.25</v>
      </c>
      <c r="I13" s="33">
        <f>-11399*D3</f>
        <v>-8549.25</v>
      </c>
      <c r="J13" s="33">
        <f>-3080*D3</f>
        <v>-2310</v>
      </c>
      <c r="K13" s="55">
        <f>I13+J13</f>
        <v>-10859.25</v>
      </c>
      <c r="L13" s="60">
        <f>-34478*D3</f>
        <v>-25858.5</v>
      </c>
      <c r="M13" s="159"/>
      <c r="N13" s="159"/>
      <c r="O13" s="159"/>
      <c r="P13" s="159"/>
      <c r="Q13" s="159"/>
      <c r="R13" s="159"/>
    </row>
    <row r="14" spans="1:18" ht="12">
      <c r="A14" s="57"/>
      <c r="B14" s="31"/>
      <c r="C14" s="58" t="s">
        <v>23</v>
      </c>
      <c r="D14" s="58"/>
      <c r="E14" s="59"/>
      <c r="F14" s="32">
        <f>-4132*D3</f>
        <v>-3099</v>
      </c>
      <c r="G14" s="33">
        <f>-80*D3</f>
        <v>-60</v>
      </c>
      <c r="H14" s="55">
        <f>F14+G14</f>
        <v>-3159</v>
      </c>
      <c r="I14" s="33">
        <f>-363*D3</f>
        <v>-272.25</v>
      </c>
      <c r="J14" s="33">
        <f>-98*D3</f>
        <v>-73.5</v>
      </c>
      <c r="K14" s="55">
        <f>I14+J14</f>
        <v>-345.75</v>
      </c>
      <c r="L14" s="60">
        <f>-1586*D3</f>
        <v>-1189.5</v>
      </c>
      <c r="M14" s="159"/>
      <c r="N14" s="159"/>
      <c r="O14" s="159"/>
      <c r="P14" s="159"/>
      <c r="Q14" s="159"/>
      <c r="R14" s="159"/>
    </row>
    <row r="15" spans="1:18" ht="12">
      <c r="A15" s="57"/>
      <c r="B15" s="31"/>
      <c r="C15" s="58" t="s">
        <v>24</v>
      </c>
      <c r="D15" s="58"/>
      <c r="E15" s="59"/>
      <c r="F15" s="32">
        <v>-7481</v>
      </c>
      <c r="G15" s="33">
        <v>-49</v>
      </c>
      <c r="H15" s="55">
        <f>F15+G15</f>
        <v>-7530</v>
      </c>
      <c r="I15" s="33">
        <v>-1572</v>
      </c>
      <c r="J15" s="33">
        <v>-180</v>
      </c>
      <c r="K15" s="55">
        <f>I15+J15</f>
        <v>-1752</v>
      </c>
      <c r="L15" s="60">
        <v>-3187</v>
      </c>
      <c r="M15" s="159"/>
      <c r="N15" s="159"/>
      <c r="O15" s="159"/>
      <c r="P15" s="159"/>
      <c r="Q15" s="159"/>
      <c r="R15" s="159"/>
    </row>
    <row r="16" spans="1:18" ht="12">
      <c r="A16" s="57"/>
      <c r="B16" s="28"/>
      <c r="C16" s="18" t="s">
        <v>25</v>
      </c>
      <c r="D16" s="18"/>
      <c r="E16" s="18"/>
      <c r="F16" s="41">
        <f aca="true" t="shared" si="0" ref="F16:L16">SUM(F12:F15)</f>
        <v>-70599.35</v>
      </c>
      <c r="G16" s="61">
        <f t="shared" si="0"/>
        <v>-2946.35</v>
      </c>
      <c r="H16" s="62">
        <f t="shared" si="0"/>
        <v>-73545.7</v>
      </c>
      <c r="I16" s="41">
        <f t="shared" si="0"/>
        <v>-13309.05</v>
      </c>
      <c r="J16" s="61">
        <f t="shared" si="0"/>
        <v>-3459.35</v>
      </c>
      <c r="K16" s="61">
        <f t="shared" si="0"/>
        <v>-16768.4</v>
      </c>
      <c r="L16" s="61">
        <f t="shared" si="0"/>
        <v>-38974.05</v>
      </c>
      <c r="M16" s="159"/>
      <c r="N16" s="159"/>
      <c r="O16" s="159"/>
      <c r="P16" s="159"/>
      <c r="Q16" s="159"/>
      <c r="R16" s="159"/>
    </row>
    <row r="17" spans="1:18" ht="12">
      <c r="A17" s="57"/>
      <c r="B17" s="18" t="s">
        <v>13</v>
      </c>
      <c r="C17" s="18" t="s">
        <v>26</v>
      </c>
      <c r="D17" s="18"/>
      <c r="E17" s="18"/>
      <c r="F17" s="63"/>
      <c r="G17" s="64"/>
      <c r="H17" s="40"/>
      <c r="I17" s="64"/>
      <c r="J17" s="64"/>
      <c r="K17" s="40"/>
      <c r="L17" s="61"/>
      <c r="M17" s="159"/>
      <c r="N17" s="159"/>
      <c r="O17" s="159"/>
      <c r="P17" s="159"/>
      <c r="Q17" s="159"/>
      <c r="R17" s="159"/>
    </row>
    <row r="18" spans="1:18" ht="12">
      <c r="A18" s="57"/>
      <c r="B18" s="31"/>
      <c r="C18" s="58" t="s">
        <v>27</v>
      </c>
      <c r="D18" s="58"/>
      <c r="E18" s="59"/>
      <c r="F18" s="32">
        <f>42332*D3</f>
        <v>31749</v>
      </c>
      <c r="G18" s="33">
        <f>3163*D3</f>
        <v>2372.25</v>
      </c>
      <c r="H18" s="55">
        <f>F18+G18</f>
        <v>34121.25</v>
      </c>
      <c r="I18" s="33">
        <f>11135*D3</f>
        <v>8351.25</v>
      </c>
      <c r="J18" s="33">
        <f>3178*D3</f>
        <v>2383.5</v>
      </c>
      <c r="K18" s="55">
        <f>I18+J18</f>
        <v>10734.75</v>
      </c>
      <c r="L18" s="60">
        <f>31599*D3</f>
        <v>23699.25</v>
      </c>
      <c r="M18" s="159"/>
      <c r="N18" s="159"/>
      <c r="O18" s="159"/>
      <c r="P18" s="159"/>
      <c r="Q18" s="159"/>
      <c r="R18" s="159"/>
    </row>
    <row r="19" spans="1:18" ht="12">
      <c r="A19" s="30"/>
      <c r="B19" s="31"/>
      <c r="C19" s="58" t="s">
        <v>28</v>
      </c>
      <c r="D19" s="31"/>
      <c r="E19" s="31"/>
      <c r="F19" s="32">
        <f>2874*D3</f>
        <v>2155.5</v>
      </c>
      <c r="G19" s="33">
        <f>41*D3</f>
        <v>30.75</v>
      </c>
      <c r="H19" s="55">
        <f>F19+G19</f>
        <v>2186.25</v>
      </c>
      <c r="I19" s="33">
        <f>306*D3</f>
        <v>229.5</v>
      </c>
      <c r="J19" s="33">
        <f>69*D3</f>
        <v>51.75</v>
      </c>
      <c r="K19" s="55">
        <f>I19+J19</f>
        <v>281.25</v>
      </c>
      <c r="L19" s="60">
        <f>1150*D3</f>
        <v>862.5</v>
      </c>
      <c r="M19" s="159"/>
      <c r="N19" s="159"/>
      <c r="O19" s="159"/>
      <c r="P19" s="159"/>
      <c r="Q19" s="159"/>
      <c r="R19" s="159"/>
    </row>
    <row r="20" spans="1:18" ht="12">
      <c r="A20" s="30"/>
      <c r="B20" s="31"/>
      <c r="C20" s="58" t="s">
        <v>29</v>
      </c>
      <c r="D20" s="58"/>
      <c r="E20" s="59"/>
      <c r="F20" s="32">
        <v>16721</v>
      </c>
      <c r="G20" s="33">
        <v>882</v>
      </c>
      <c r="H20" s="55">
        <f>F20+G20</f>
        <v>17603</v>
      </c>
      <c r="I20" s="33">
        <v>3471</v>
      </c>
      <c r="J20" s="33">
        <v>1038</v>
      </c>
      <c r="K20" s="55">
        <f>I20+J20</f>
        <v>4509</v>
      </c>
      <c r="L20" s="60">
        <v>9034</v>
      </c>
      <c r="M20" s="159"/>
      <c r="N20" s="159"/>
      <c r="O20" s="159"/>
      <c r="P20" s="159"/>
      <c r="Q20" s="159"/>
      <c r="R20" s="159"/>
    </row>
    <row r="21" spans="1:18" ht="12">
      <c r="A21" s="30"/>
      <c r="B21" s="31"/>
      <c r="C21" s="58" t="s">
        <v>30</v>
      </c>
      <c r="D21" s="58"/>
      <c r="E21" s="59"/>
      <c r="F21" s="53">
        <f>12889*D2</f>
        <v>9666.75</v>
      </c>
      <c r="G21" s="54">
        <f>83*D2</f>
        <v>62.25</v>
      </c>
      <c r="H21" s="55">
        <f>F21+G21</f>
        <v>9729</v>
      </c>
      <c r="I21" s="54">
        <v>1493</v>
      </c>
      <c r="J21" s="54">
        <f>333*D2</f>
        <v>249.75</v>
      </c>
      <c r="K21" s="55">
        <f>I21+J21</f>
        <v>1742.75</v>
      </c>
      <c r="L21" s="56">
        <f>3962*D2</f>
        <v>2971.5</v>
      </c>
      <c r="M21" s="159"/>
      <c r="N21" s="159"/>
      <c r="O21" s="159"/>
      <c r="P21" s="159"/>
      <c r="Q21" s="159"/>
      <c r="R21" s="159"/>
    </row>
    <row r="22" spans="1:18" ht="12">
      <c r="A22" s="30"/>
      <c r="B22" s="31"/>
      <c r="C22" s="58" t="s">
        <v>31</v>
      </c>
      <c r="D22" s="58"/>
      <c r="E22" s="59"/>
      <c r="F22" s="65">
        <v>7193</v>
      </c>
      <c r="G22" s="66">
        <v>74</v>
      </c>
      <c r="H22" s="67">
        <f>F22+G22</f>
        <v>7267</v>
      </c>
      <c r="I22" s="66">
        <v>1303</v>
      </c>
      <c r="J22" s="66">
        <v>129</v>
      </c>
      <c r="K22" s="67">
        <f>I22+J22</f>
        <v>1432</v>
      </c>
      <c r="L22" s="68">
        <v>3413</v>
      </c>
      <c r="M22" s="159"/>
      <c r="N22" s="159"/>
      <c r="O22" s="159"/>
      <c r="P22" s="159"/>
      <c r="Q22" s="159"/>
      <c r="R22" s="159"/>
    </row>
    <row r="23" spans="1:18" ht="12">
      <c r="A23" s="30"/>
      <c r="B23" s="18"/>
      <c r="C23" s="18" t="s">
        <v>32</v>
      </c>
      <c r="D23" s="18"/>
      <c r="E23" s="18"/>
      <c r="F23" s="41">
        <f aca="true" t="shared" si="1" ref="F23:L23">SUM(F18:F22)</f>
        <v>67485.25</v>
      </c>
      <c r="G23" s="61">
        <f t="shared" si="1"/>
        <v>3421.25</v>
      </c>
      <c r="H23" s="62">
        <f t="shared" si="1"/>
        <v>70906.5</v>
      </c>
      <c r="I23" s="41">
        <f t="shared" si="1"/>
        <v>14847.75</v>
      </c>
      <c r="J23" s="62">
        <f t="shared" si="1"/>
        <v>3852</v>
      </c>
      <c r="K23" s="40">
        <f t="shared" si="1"/>
        <v>18699.75</v>
      </c>
      <c r="L23" s="61">
        <f t="shared" si="1"/>
        <v>39980.25</v>
      </c>
      <c r="M23" s="159"/>
      <c r="N23" s="159"/>
      <c r="O23" s="159"/>
      <c r="P23" s="159"/>
      <c r="Q23" s="159"/>
      <c r="R23" s="159"/>
    </row>
    <row r="24" spans="1:18" ht="12">
      <c r="A24" s="30"/>
      <c r="B24" s="18" t="s">
        <v>33</v>
      </c>
      <c r="C24" s="18"/>
      <c r="D24" s="18"/>
      <c r="E24" s="18"/>
      <c r="F24" s="41"/>
      <c r="G24" s="61"/>
      <c r="H24" s="62"/>
      <c r="I24" s="41"/>
      <c r="J24" s="62"/>
      <c r="K24" s="40"/>
      <c r="L24" s="61"/>
      <c r="M24" s="159"/>
      <c r="N24" s="159"/>
      <c r="O24" s="159"/>
      <c r="P24" s="159"/>
      <c r="Q24" s="159"/>
      <c r="R24" s="159"/>
    </row>
    <row r="25" spans="1:18" ht="12">
      <c r="A25" s="30"/>
      <c r="B25" s="59"/>
      <c r="C25" s="58" t="s">
        <v>34</v>
      </c>
      <c r="D25" s="58"/>
      <c r="E25" s="59"/>
      <c r="F25" s="69">
        <f>F12</f>
        <v>-18641.85</v>
      </c>
      <c r="G25" s="70">
        <f aca="true" t="shared" si="2" ref="G25:L25">G12</f>
        <v>-748.5999999999999</v>
      </c>
      <c r="H25" s="71">
        <f t="shared" si="2"/>
        <v>-19390.449999999997</v>
      </c>
      <c r="I25" s="70">
        <f t="shared" si="2"/>
        <v>-2915.5499999999997</v>
      </c>
      <c r="J25" s="70">
        <f t="shared" si="2"/>
        <v>-895.8499999999999</v>
      </c>
      <c r="K25" s="71">
        <f t="shared" si="2"/>
        <v>-3811.3999999999996</v>
      </c>
      <c r="L25" s="72">
        <f t="shared" si="2"/>
        <v>-8739.05</v>
      </c>
      <c r="M25" s="159"/>
      <c r="N25" s="159"/>
      <c r="O25" s="159"/>
      <c r="P25" s="159"/>
      <c r="Q25" s="159"/>
      <c r="R25" s="159"/>
    </row>
    <row r="26" spans="1:18" ht="12">
      <c r="A26" s="30"/>
      <c r="B26" s="59"/>
      <c r="C26" s="58" t="s">
        <v>35</v>
      </c>
      <c r="D26" s="58"/>
      <c r="E26" s="59"/>
      <c r="F26" s="53">
        <f>F13+F18</f>
        <v>-9628.5</v>
      </c>
      <c r="G26" s="54">
        <f aca="true" t="shared" si="3" ref="G26:L27">G13+G18</f>
        <v>283.5</v>
      </c>
      <c r="H26" s="55">
        <f t="shared" si="3"/>
        <v>-9345</v>
      </c>
      <c r="I26" s="54">
        <f t="shared" si="3"/>
        <v>-198</v>
      </c>
      <c r="J26" s="54">
        <f t="shared" si="3"/>
        <v>73.5</v>
      </c>
      <c r="K26" s="55">
        <f t="shared" si="3"/>
        <v>-124.5</v>
      </c>
      <c r="L26" s="56">
        <f t="shared" si="3"/>
        <v>-2159.25</v>
      </c>
      <c r="M26" s="159"/>
      <c r="N26" s="159"/>
      <c r="O26" s="159"/>
      <c r="P26" s="159"/>
      <c r="Q26" s="159"/>
      <c r="R26" s="159"/>
    </row>
    <row r="27" spans="1:18" ht="12">
      <c r="A27" s="30"/>
      <c r="B27" s="59"/>
      <c r="C27" s="58" t="s">
        <v>36</v>
      </c>
      <c r="D27" s="58"/>
      <c r="E27" s="59"/>
      <c r="F27" s="53">
        <f>F14+F19</f>
        <v>-943.5</v>
      </c>
      <c r="G27" s="54">
        <f t="shared" si="3"/>
        <v>-29.25</v>
      </c>
      <c r="H27" s="55">
        <f t="shared" si="3"/>
        <v>-972.75</v>
      </c>
      <c r="I27" s="54">
        <f t="shared" si="3"/>
        <v>-42.75</v>
      </c>
      <c r="J27" s="54">
        <f t="shared" si="3"/>
        <v>-21.75</v>
      </c>
      <c r="K27" s="55">
        <f t="shared" si="3"/>
        <v>-64.5</v>
      </c>
      <c r="L27" s="56">
        <f t="shared" si="3"/>
        <v>-327</v>
      </c>
      <c r="M27" s="159"/>
      <c r="N27" s="159"/>
      <c r="O27" s="159"/>
      <c r="P27" s="159"/>
      <c r="Q27" s="159"/>
      <c r="R27" s="159"/>
    </row>
    <row r="28" spans="1:18" ht="12">
      <c r="A28" s="30"/>
      <c r="B28" s="59"/>
      <c r="C28" s="58" t="s">
        <v>37</v>
      </c>
      <c r="D28" s="58"/>
      <c r="E28" s="59"/>
      <c r="F28" s="53">
        <f>F20</f>
        <v>16721</v>
      </c>
      <c r="G28" s="54">
        <f aca="true" t="shared" si="4" ref="G28:L29">G20</f>
        <v>882</v>
      </c>
      <c r="H28" s="55">
        <f t="shared" si="4"/>
        <v>17603</v>
      </c>
      <c r="I28" s="54">
        <f t="shared" si="4"/>
        <v>3471</v>
      </c>
      <c r="J28" s="54">
        <f t="shared" si="4"/>
        <v>1038</v>
      </c>
      <c r="K28" s="55">
        <f t="shared" si="4"/>
        <v>4509</v>
      </c>
      <c r="L28" s="56">
        <f t="shared" si="4"/>
        <v>9034</v>
      </c>
      <c r="M28" s="159"/>
      <c r="N28" s="159"/>
      <c r="O28" s="159"/>
      <c r="P28" s="159"/>
      <c r="Q28" s="159"/>
      <c r="R28" s="159"/>
    </row>
    <row r="29" spans="1:18" ht="12">
      <c r="A29" s="30"/>
      <c r="B29" s="59"/>
      <c r="C29" s="58" t="s">
        <v>38</v>
      </c>
      <c r="D29" s="58"/>
      <c r="E29" s="59"/>
      <c r="F29" s="53">
        <f>F21</f>
        <v>9666.75</v>
      </c>
      <c r="G29" s="54">
        <f t="shared" si="4"/>
        <v>62.25</v>
      </c>
      <c r="H29" s="55">
        <f t="shared" si="4"/>
        <v>9729</v>
      </c>
      <c r="I29" s="54">
        <f t="shared" si="4"/>
        <v>1493</v>
      </c>
      <c r="J29" s="54">
        <f t="shared" si="4"/>
        <v>249.75</v>
      </c>
      <c r="K29" s="55">
        <f t="shared" si="4"/>
        <v>1742.75</v>
      </c>
      <c r="L29" s="56">
        <f t="shared" si="4"/>
        <v>2971.5</v>
      </c>
      <c r="M29" s="159"/>
      <c r="N29" s="159"/>
      <c r="O29" s="159"/>
      <c r="P29" s="159"/>
      <c r="Q29" s="159"/>
      <c r="R29" s="159"/>
    </row>
    <row r="30" spans="1:18" ht="12">
      <c r="A30" s="30"/>
      <c r="B30" s="59"/>
      <c r="C30" s="58" t="s">
        <v>39</v>
      </c>
      <c r="D30" s="58"/>
      <c r="E30" s="59"/>
      <c r="F30" s="53">
        <f>F15+F22</f>
        <v>-288</v>
      </c>
      <c r="G30" s="54">
        <f aca="true" t="shared" si="5" ref="G30:L30">G15+G22</f>
        <v>25</v>
      </c>
      <c r="H30" s="55">
        <f t="shared" si="5"/>
        <v>-263</v>
      </c>
      <c r="I30" s="54">
        <f t="shared" si="5"/>
        <v>-269</v>
      </c>
      <c r="J30" s="54">
        <f t="shared" si="5"/>
        <v>-51</v>
      </c>
      <c r="K30" s="55">
        <f t="shared" si="5"/>
        <v>-320</v>
      </c>
      <c r="L30" s="56">
        <f t="shared" si="5"/>
        <v>226</v>
      </c>
      <c r="M30" s="159"/>
      <c r="N30" s="159"/>
      <c r="O30" s="159"/>
      <c r="P30" s="159"/>
      <c r="Q30" s="159"/>
      <c r="R30" s="159"/>
    </row>
    <row r="31" spans="1:18" ht="12">
      <c r="A31" s="30"/>
      <c r="B31" s="59"/>
      <c r="C31" s="18" t="s">
        <v>40</v>
      </c>
      <c r="D31" s="18"/>
      <c r="E31" s="18"/>
      <c r="F31" s="41">
        <f>SUM(F25:F30)</f>
        <v>-3114.0999999999985</v>
      </c>
      <c r="G31" s="62">
        <f aca="true" t="shared" si="6" ref="G31:L31">SUM(G25:G30)</f>
        <v>474.9000000000001</v>
      </c>
      <c r="H31" s="40">
        <f t="shared" si="6"/>
        <v>-2639.199999999997</v>
      </c>
      <c r="I31" s="62">
        <f t="shared" si="6"/>
        <v>1538.7000000000003</v>
      </c>
      <c r="J31" s="62">
        <f t="shared" si="6"/>
        <v>392.6500000000001</v>
      </c>
      <c r="K31" s="40">
        <f t="shared" si="6"/>
        <v>1931.3500000000004</v>
      </c>
      <c r="L31" s="61">
        <f t="shared" si="6"/>
        <v>1006.2000000000007</v>
      </c>
      <c r="M31" s="159"/>
      <c r="N31" s="159"/>
      <c r="O31" s="159"/>
      <c r="P31" s="159"/>
      <c r="Q31" s="159"/>
      <c r="R31" s="159"/>
    </row>
    <row r="32" spans="1:18" ht="12">
      <c r="A32" s="30"/>
      <c r="B32" s="59" t="s">
        <v>41</v>
      </c>
      <c r="C32" s="59" t="s">
        <v>42</v>
      </c>
      <c r="D32" s="59"/>
      <c r="E32" s="59"/>
      <c r="F32" s="73"/>
      <c r="G32" s="74"/>
      <c r="H32" s="75">
        <f>H31-H8</f>
        <v>-767.1999999999971</v>
      </c>
      <c r="I32" s="76"/>
      <c r="J32" s="76"/>
      <c r="K32" s="75">
        <f>K31-K8</f>
        <v>-498.64999999999964</v>
      </c>
      <c r="L32" s="75">
        <f>L31-L8</f>
        <v>-796.7999999999993</v>
      </c>
      <c r="M32" s="159"/>
      <c r="N32" s="159"/>
      <c r="O32" s="159"/>
      <c r="P32" s="159"/>
      <c r="Q32" s="159"/>
      <c r="R32" s="159"/>
    </row>
    <row r="33" spans="1:18" ht="12">
      <c r="A33" s="17" t="s">
        <v>43</v>
      </c>
      <c r="B33" s="18" t="s">
        <v>44</v>
      </c>
      <c r="C33" s="18"/>
      <c r="D33" s="18"/>
      <c r="E33" s="18"/>
      <c r="F33" s="41"/>
      <c r="G33" s="62"/>
      <c r="H33" s="77"/>
      <c r="I33" s="20"/>
      <c r="J33" s="20"/>
      <c r="K33" s="77"/>
      <c r="L33" s="77"/>
      <c r="M33" s="159"/>
      <c r="N33" s="159"/>
      <c r="O33" s="159"/>
      <c r="P33" s="159"/>
      <c r="Q33" s="159"/>
      <c r="R33" s="159"/>
    </row>
    <row r="34" spans="1:18" ht="12">
      <c r="A34" s="49"/>
      <c r="B34" s="52" t="s">
        <v>45</v>
      </c>
      <c r="C34" s="52" t="s">
        <v>46</v>
      </c>
      <c r="D34" s="52"/>
      <c r="E34" s="50"/>
      <c r="F34" s="47"/>
      <c r="G34" s="78"/>
      <c r="H34" s="79">
        <f>H18/H7</f>
        <v>0.10235310527705119</v>
      </c>
      <c r="I34" s="70"/>
      <c r="J34" s="70"/>
      <c r="K34" s="79">
        <f>K18/K7</f>
        <v>0.14229708771325178</v>
      </c>
      <c r="L34" s="79">
        <f>L18/L7</f>
        <v>0.1366147859922179</v>
      </c>
      <c r="M34" s="159"/>
      <c r="N34" s="159"/>
      <c r="O34" s="159"/>
      <c r="P34" s="159"/>
      <c r="Q34" s="159"/>
      <c r="R34" s="159"/>
    </row>
    <row r="35" spans="1:18" ht="12">
      <c r="A35" s="57"/>
      <c r="B35" s="58" t="s">
        <v>13</v>
      </c>
      <c r="C35" s="58" t="s">
        <v>47</v>
      </c>
      <c r="D35" s="58"/>
      <c r="E35" s="59"/>
      <c r="F35" s="73"/>
      <c r="G35" s="80"/>
      <c r="H35" s="81">
        <f>H19/H7</f>
        <v>0.006558067960932063</v>
      </c>
      <c r="I35" s="54"/>
      <c r="J35" s="54"/>
      <c r="K35" s="81">
        <f>K19/K7</f>
        <v>0.0037281777330028234</v>
      </c>
      <c r="L35" s="81">
        <f>L19/L7</f>
        <v>0.004971897968006917</v>
      </c>
      <c r="M35" s="159"/>
      <c r="N35" s="159"/>
      <c r="O35" s="159"/>
      <c r="P35" s="159"/>
      <c r="Q35" s="159"/>
      <c r="R35" s="159"/>
    </row>
    <row r="36" spans="1:18" ht="12">
      <c r="A36" s="57"/>
      <c r="B36" s="58" t="s">
        <v>41</v>
      </c>
      <c r="C36" s="58" t="s">
        <v>48</v>
      </c>
      <c r="D36" s="58"/>
      <c r="E36" s="59"/>
      <c r="F36" s="73"/>
      <c r="G36" s="80"/>
      <c r="H36" s="81">
        <f>H22/H7</f>
        <v>0.021798732931775096</v>
      </c>
      <c r="I36" s="54"/>
      <c r="J36" s="54"/>
      <c r="K36" s="81">
        <f>K22/K7</f>
        <v>0.018982224048569044</v>
      </c>
      <c r="L36" s="81">
        <f>L22/L7</f>
        <v>0.0196743046548494</v>
      </c>
      <c r="M36" s="159"/>
      <c r="N36" s="159"/>
      <c r="O36" s="159"/>
      <c r="P36" s="159"/>
      <c r="Q36" s="159"/>
      <c r="R36" s="159"/>
    </row>
    <row r="37" spans="1:18" ht="12">
      <c r="A37" s="57"/>
      <c r="B37" s="58" t="s">
        <v>49</v>
      </c>
      <c r="C37" s="58" t="s">
        <v>50</v>
      </c>
      <c r="D37" s="58"/>
      <c r="E37" s="59"/>
      <c r="F37" s="73"/>
      <c r="G37" s="80"/>
      <c r="H37" s="81">
        <f>(H20*0.75)/H7</f>
        <v>0.039602631326342064</v>
      </c>
      <c r="I37" s="54"/>
      <c r="J37" s="54"/>
      <c r="K37" s="81">
        <f>(K20*0.75)/K7</f>
        <v>0.04482760906162595</v>
      </c>
      <c r="L37" s="81">
        <f>(L20*0.75)/L7</f>
        <v>0.039057501080847386</v>
      </c>
      <c r="M37" s="159"/>
      <c r="N37" s="159"/>
      <c r="O37" s="159"/>
      <c r="P37" s="159"/>
      <c r="Q37" s="159"/>
      <c r="R37" s="159"/>
    </row>
    <row r="38" spans="1:18" ht="12">
      <c r="A38" s="30"/>
      <c r="B38" s="58" t="s">
        <v>51</v>
      </c>
      <c r="C38" s="31" t="s">
        <v>52</v>
      </c>
      <c r="D38" s="31"/>
      <c r="E38" s="31"/>
      <c r="F38" s="82"/>
      <c r="G38" s="83"/>
      <c r="H38" s="84">
        <f>(H28*0.25)/H7</f>
        <v>0.013200877108780687</v>
      </c>
      <c r="I38" s="58"/>
      <c r="J38" s="58"/>
      <c r="K38" s="84">
        <f>(K28*0.25)/K7</f>
        <v>0.014942536353875317</v>
      </c>
      <c r="L38" s="84">
        <f>(L28*0.25)/L7</f>
        <v>0.013019167026949129</v>
      </c>
      <c r="M38" s="159"/>
      <c r="N38" s="159"/>
      <c r="O38" s="159"/>
      <c r="P38" s="159"/>
      <c r="Q38" s="159"/>
      <c r="R38" s="159"/>
    </row>
    <row r="39" spans="1:18" ht="12">
      <c r="A39" s="30"/>
      <c r="B39" s="58" t="s">
        <v>53</v>
      </c>
      <c r="C39" s="31" t="s">
        <v>54</v>
      </c>
      <c r="D39" s="31"/>
      <c r="E39" s="31"/>
      <c r="F39" s="85"/>
      <c r="G39" s="86"/>
      <c r="H39" s="84">
        <f>H29/H7</f>
        <v>0.029183964867653765</v>
      </c>
      <c r="I39" s="58"/>
      <c r="J39" s="58"/>
      <c r="K39" s="84">
        <f>K29/K7</f>
        <v>0.02310144620156683</v>
      </c>
      <c r="L39" s="84">
        <f>L29/L7</f>
        <v>0.01712926934716818</v>
      </c>
      <c r="M39" s="159"/>
      <c r="N39" s="159"/>
      <c r="O39" s="159"/>
      <c r="P39" s="159"/>
      <c r="Q39" s="159"/>
      <c r="R39" s="159"/>
    </row>
    <row r="40" spans="1:18" ht="12">
      <c r="A40" s="30"/>
      <c r="B40" s="50" t="s">
        <v>55</v>
      </c>
      <c r="C40" s="50"/>
      <c r="D40" s="2"/>
      <c r="E40" s="2"/>
      <c r="F40" s="87"/>
      <c r="G40" s="88"/>
      <c r="H40" s="89">
        <f>SUM(H34:H39)</f>
        <v>0.21269737947253484</v>
      </c>
      <c r="I40" s="52"/>
      <c r="J40" s="52"/>
      <c r="K40" s="89">
        <f>SUM(K34:K39)</f>
        <v>0.24787908111189172</v>
      </c>
      <c r="L40" s="89">
        <f>SUM(L34:L39)</f>
        <v>0.23046692607003894</v>
      </c>
      <c r="M40" s="159"/>
      <c r="N40" s="159"/>
      <c r="O40" s="159"/>
      <c r="P40" s="159"/>
      <c r="Q40" s="159"/>
      <c r="R40" s="159"/>
    </row>
    <row r="41" spans="1:18" ht="12">
      <c r="A41" s="90" t="s">
        <v>56</v>
      </c>
      <c r="B41" s="91"/>
      <c r="C41" s="91"/>
      <c r="D41" s="91"/>
      <c r="E41" s="92"/>
      <c r="F41" s="87"/>
      <c r="G41" s="2"/>
      <c r="H41" s="89"/>
      <c r="I41" s="52"/>
      <c r="J41" s="52"/>
      <c r="K41" s="89"/>
      <c r="L41" s="93"/>
      <c r="M41" s="159"/>
      <c r="N41" s="159"/>
      <c r="O41" s="159"/>
      <c r="P41" s="159"/>
      <c r="Q41" s="159"/>
      <c r="R41" s="159"/>
    </row>
    <row r="42" spans="1:18" ht="12">
      <c r="A42" s="30"/>
      <c r="B42" s="94" t="s">
        <v>57</v>
      </c>
      <c r="C42" s="95"/>
      <c r="D42" s="96"/>
      <c r="E42" s="31"/>
      <c r="F42" s="87"/>
      <c r="G42" s="2"/>
      <c r="H42" s="97">
        <f>(H25+H28)/H$6</f>
        <v>-0.005331851807660175</v>
      </c>
      <c r="I42" s="98"/>
      <c r="J42" s="98"/>
      <c r="K42" s="97">
        <f>(K25+K28)/K$6</f>
        <v>0.009554986371543239</v>
      </c>
      <c r="L42" s="99">
        <f>(L25+L28)/L$6</f>
        <v>0.0017181019618808001</v>
      </c>
      <c r="M42" s="159"/>
      <c r="N42" s="159"/>
      <c r="O42" s="159"/>
      <c r="P42" s="159"/>
      <c r="Q42" s="159"/>
      <c r="R42" s="159"/>
    </row>
    <row r="43" spans="1:18" ht="12">
      <c r="A43" s="30"/>
      <c r="B43" s="94" t="s">
        <v>35</v>
      </c>
      <c r="C43" s="95"/>
      <c r="D43" s="96"/>
      <c r="E43" s="31"/>
      <c r="F43" s="82"/>
      <c r="G43" s="31"/>
      <c r="H43" s="100">
        <f>H26/H$6</f>
        <v>-0.027875551843455436</v>
      </c>
      <c r="I43" s="101"/>
      <c r="J43" s="101"/>
      <c r="K43" s="100">
        <f>K26/K$6</f>
        <v>-0.0017052692133846512</v>
      </c>
      <c r="L43" s="102">
        <f>L26/L$6</f>
        <v>-0.012577764574304488</v>
      </c>
      <c r="M43" s="159"/>
      <c r="N43" s="159"/>
      <c r="O43" s="159"/>
      <c r="P43" s="159"/>
      <c r="Q43" s="159"/>
      <c r="R43" s="159"/>
    </row>
    <row r="44" spans="1:18" ht="12">
      <c r="A44" s="30"/>
      <c r="B44" s="94" t="s">
        <v>36</v>
      </c>
      <c r="C44" s="95"/>
      <c r="D44" s="96"/>
      <c r="E44" s="31"/>
      <c r="F44" s="82"/>
      <c r="G44" s="31"/>
      <c r="H44" s="100">
        <f>H27/H$6</f>
        <v>-0.0029016525474287076</v>
      </c>
      <c r="I44" s="101"/>
      <c r="J44" s="101"/>
      <c r="K44" s="100">
        <f>K27/K$6</f>
        <v>-0.0008834527250065061</v>
      </c>
      <c r="L44" s="102">
        <f>L27/L$6</f>
        <v>-0.0019047951908290229</v>
      </c>
      <c r="M44" s="159"/>
      <c r="N44" s="159"/>
      <c r="O44" s="159"/>
      <c r="P44" s="159"/>
      <c r="Q44" s="159"/>
      <c r="R44" s="159"/>
    </row>
    <row r="45" spans="1:18" ht="12">
      <c r="A45" s="30"/>
      <c r="B45" s="94" t="s">
        <v>39</v>
      </c>
      <c r="C45" s="95"/>
      <c r="D45" s="96"/>
      <c r="E45" s="31"/>
      <c r="F45" s="85"/>
      <c r="G45" s="9"/>
      <c r="H45" s="103">
        <f>H30/H$6</f>
        <v>-0.0007845125879966591</v>
      </c>
      <c r="I45" s="104"/>
      <c r="J45" s="104"/>
      <c r="K45" s="103">
        <f>K30/K$6</f>
        <v>-0.004383021271350107</v>
      </c>
      <c r="L45" s="105">
        <f>L30/L$6</f>
        <v>0.001316463954517918</v>
      </c>
      <c r="M45" s="159"/>
      <c r="N45" s="159"/>
      <c r="O45" s="159"/>
      <c r="P45" s="159"/>
      <c r="Q45" s="159"/>
      <c r="R45" s="159"/>
    </row>
    <row r="46" spans="1:18" ht="12">
      <c r="A46" s="30"/>
      <c r="B46" s="17" t="s">
        <v>58</v>
      </c>
      <c r="C46" s="106"/>
      <c r="D46" s="107"/>
      <c r="E46" s="28"/>
      <c r="F46" s="108"/>
      <c r="G46" s="28"/>
      <c r="H46" s="77">
        <f>SUM(H42:H45)</f>
        <v>-0.03689356878654098</v>
      </c>
      <c r="I46" s="109"/>
      <c r="J46" s="109"/>
      <c r="K46" s="77">
        <f>SUM(K42:K45)</f>
        <v>0.0025832431618019744</v>
      </c>
      <c r="L46" s="110">
        <f>SUM(L42:L45)</f>
        <v>-0.011447993848734793</v>
      </c>
      <c r="M46" s="159"/>
      <c r="N46" s="159"/>
      <c r="O46" s="159"/>
      <c r="P46" s="159"/>
      <c r="Q46" s="159"/>
      <c r="R46" s="159"/>
    </row>
    <row r="47" spans="1:18" ht="12">
      <c r="A47" s="17" t="s">
        <v>51</v>
      </c>
      <c r="B47" s="18" t="s">
        <v>59</v>
      </c>
      <c r="C47" s="18"/>
      <c r="D47" s="28"/>
      <c r="E47" s="28"/>
      <c r="F47" s="108"/>
      <c r="G47" s="51"/>
      <c r="H47" s="77"/>
      <c r="I47" s="111"/>
      <c r="J47" s="111"/>
      <c r="K47" s="77"/>
      <c r="L47" s="110"/>
      <c r="M47" s="159"/>
      <c r="N47" s="159"/>
      <c r="O47" s="159"/>
      <c r="P47" s="159"/>
      <c r="Q47" s="159"/>
      <c r="R47" s="159"/>
    </row>
    <row r="48" spans="1:18" ht="12">
      <c r="A48" s="30"/>
      <c r="B48" s="58" t="s">
        <v>11</v>
      </c>
      <c r="C48" s="31" t="s">
        <v>60</v>
      </c>
      <c r="D48" s="31"/>
      <c r="E48" s="31"/>
      <c r="F48" s="82"/>
      <c r="G48" s="83"/>
      <c r="H48" s="84">
        <f>H38+H39</f>
        <v>0.042384841976434454</v>
      </c>
      <c r="I48" s="112"/>
      <c r="J48" s="113"/>
      <c r="K48" s="114">
        <f>K38+K39</f>
        <v>0.03804398255544215</v>
      </c>
      <c r="L48" s="89">
        <f>L38+L39</f>
        <v>0.030148436374117307</v>
      </c>
      <c r="M48" s="159"/>
      <c r="N48" s="159"/>
      <c r="O48" s="159"/>
      <c r="P48" s="159"/>
      <c r="Q48" s="159"/>
      <c r="R48" s="159"/>
    </row>
    <row r="49" spans="1:18" ht="12">
      <c r="A49" s="30"/>
      <c r="B49" s="31" t="s">
        <v>13</v>
      </c>
      <c r="C49" s="31" t="s">
        <v>61</v>
      </c>
      <c r="D49" s="31"/>
      <c r="E49" s="31"/>
      <c r="F49" s="38"/>
      <c r="G49" s="86"/>
      <c r="H49" s="115">
        <v>0.156413947419492</v>
      </c>
      <c r="I49" s="116"/>
      <c r="J49" s="117"/>
      <c r="K49" s="118">
        <v>0.109</v>
      </c>
      <c r="L49" s="115">
        <v>0.10670231876106684</v>
      </c>
      <c r="M49" s="159"/>
      <c r="N49" s="159"/>
      <c r="O49" s="159"/>
      <c r="P49" s="159"/>
      <c r="Q49" s="159"/>
      <c r="R49" s="159"/>
    </row>
    <row r="50" spans="1:18" ht="12">
      <c r="A50" s="27"/>
      <c r="B50" s="18" t="s">
        <v>62</v>
      </c>
      <c r="C50" s="18"/>
      <c r="D50" s="18"/>
      <c r="E50" s="18"/>
      <c r="F50" s="38"/>
      <c r="G50" s="86"/>
      <c r="H50" s="119">
        <f>SUM(H48:H49)</f>
        <v>0.19879878939592643</v>
      </c>
      <c r="I50" s="116"/>
      <c r="J50" s="117"/>
      <c r="K50" s="120">
        <f>SUM(K48:K49)</f>
        <v>0.14704398255544215</v>
      </c>
      <c r="L50" s="119">
        <f>SUM(L48:L49)</f>
        <v>0.13685075513518413</v>
      </c>
      <c r="M50" s="159"/>
      <c r="N50" s="159"/>
      <c r="O50" s="159"/>
      <c r="P50" s="159"/>
      <c r="Q50" s="159"/>
      <c r="R50" s="159"/>
    </row>
    <row r="51" spans="1:18" ht="12">
      <c r="A51" s="49" t="s">
        <v>53</v>
      </c>
      <c r="B51" s="50" t="s">
        <v>63</v>
      </c>
      <c r="C51" s="50"/>
      <c r="D51" s="50"/>
      <c r="E51" s="50"/>
      <c r="F51" s="1"/>
      <c r="G51" s="88"/>
      <c r="H51" s="79"/>
      <c r="I51" s="121"/>
      <c r="J51" s="122"/>
      <c r="K51" s="123"/>
      <c r="L51" s="124"/>
      <c r="M51" s="159"/>
      <c r="N51" s="159"/>
      <c r="O51" s="159"/>
      <c r="P51" s="159"/>
      <c r="Q51" s="159"/>
      <c r="R51" s="159"/>
    </row>
    <row r="52" spans="1:18" ht="12">
      <c r="A52" s="49"/>
      <c r="B52" s="50" t="s">
        <v>64</v>
      </c>
      <c r="C52" s="50"/>
      <c r="D52" s="50"/>
      <c r="E52" s="50"/>
      <c r="F52" s="125"/>
      <c r="G52" s="126"/>
      <c r="H52" s="127">
        <v>0.2874</v>
      </c>
      <c r="I52" s="128"/>
      <c r="J52" s="129"/>
      <c r="K52" s="130">
        <v>0.238</v>
      </c>
      <c r="L52" s="127">
        <v>0.1938</v>
      </c>
      <c r="M52" s="159"/>
      <c r="N52" s="159"/>
      <c r="O52" s="159"/>
      <c r="P52" s="159"/>
      <c r="Q52" s="159"/>
      <c r="R52" s="159"/>
    </row>
    <row r="53" spans="1:18" ht="12">
      <c r="A53" s="57"/>
      <c r="B53" s="58" t="s">
        <v>65</v>
      </c>
      <c r="C53" s="58"/>
      <c r="D53" s="58"/>
      <c r="E53" s="59"/>
      <c r="F53" s="131"/>
      <c r="G53" s="132"/>
      <c r="H53" s="133">
        <v>0.2959</v>
      </c>
      <c r="I53" s="134"/>
      <c r="J53" s="135"/>
      <c r="K53" s="136">
        <v>0.2399</v>
      </c>
      <c r="L53" s="133">
        <v>0.1978</v>
      </c>
      <c r="M53" s="159"/>
      <c r="N53" s="159"/>
      <c r="O53" s="159"/>
      <c r="P53" s="159"/>
      <c r="Q53" s="159"/>
      <c r="R53" s="159"/>
    </row>
    <row r="54" spans="1:18" ht="12">
      <c r="A54" s="57"/>
      <c r="B54" s="58" t="s">
        <v>66</v>
      </c>
      <c r="C54" s="58"/>
      <c r="D54" s="58"/>
      <c r="E54" s="59"/>
      <c r="F54" s="131">
        <v>0.3295</v>
      </c>
      <c r="G54" s="132">
        <v>0.17</v>
      </c>
      <c r="H54" s="133">
        <f>(F54*F4+G54*G4)/H4</f>
        <v>0.32274656919358485</v>
      </c>
      <c r="I54" s="134">
        <v>0.2558</v>
      </c>
      <c r="J54" s="135">
        <v>0.2159</v>
      </c>
      <c r="K54" s="136">
        <f>(I54*I4+J54*J4)/K4</f>
        <v>0.24619251426302483</v>
      </c>
      <c r="L54" s="133">
        <v>0.1954</v>
      </c>
      <c r="M54" s="159"/>
      <c r="N54" s="159"/>
      <c r="O54" s="159"/>
      <c r="P54" s="159"/>
      <c r="Q54" s="159"/>
      <c r="R54" s="159"/>
    </row>
    <row r="55" spans="1:18" ht="12">
      <c r="A55" s="57"/>
      <c r="B55" s="59" t="s">
        <v>67</v>
      </c>
      <c r="C55" s="59"/>
      <c r="D55" s="59"/>
      <c r="E55" s="59"/>
      <c r="F55" s="131"/>
      <c r="G55" s="132"/>
      <c r="H55" s="137">
        <v>0.3047</v>
      </c>
      <c r="I55" s="138"/>
      <c r="J55" s="139"/>
      <c r="K55" s="140">
        <v>0.2552</v>
      </c>
      <c r="L55" s="137">
        <v>0.1735</v>
      </c>
      <c r="M55" s="159"/>
      <c r="N55" s="159"/>
      <c r="O55" s="159"/>
      <c r="P55" s="159"/>
      <c r="Q55" s="159"/>
      <c r="R55" s="159"/>
    </row>
    <row r="56" spans="1:18" ht="12">
      <c r="A56" s="57"/>
      <c r="B56" s="58" t="s">
        <v>68</v>
      </c>
      <c r="C56" s="58"/>
      <c r="D56" s="58"/>
      <c r="E56" s="59"/>
      <c r="F56" s="131"/>
      <c r="G56" s="132"/>
      <c r="H56" s="133">
        <v>0.3488</v>
      </c>
      <c r="I56" s="138"/>
      <c r="J56" s="139"/>
      <c r="K56" s="136">
        <v>0.3124</v>
      </c>
      <c r="L56" s="133">
        <v>0.2192</v>
      </c>
      <c r="M56" s="159"/>
      <c r="N56" s="159"/>
      <c r="O56" s="159"/>
      <c r="P56" s="159"/>
      <c r="Q56" s="159"/>
      <c r="R56" s="159"/>
    </row>
    <row r="57" spans="1:18" ht="12">
      <c r="A57" s="57"/>
      <c r="B57" s="58" t="s">
        <v>69</v>
      </c>
      <c r="C57" s="58"/>
      <c r="D57" s="58"/>
      <c r="E57" s="59"/>
      <c r="F57" s="131">
        <v>0.3351</v>
      </c>
      <c r="G57" s="132">
        <v>0.2257</v>
      </c>
      <c r="H57" s="133">
        <f>(F57*F4+G57*G4)/H4</f>
        <v>0.3304678662682018</v>
      </c>
      <c r="I57" s="134">
        <v>0.2646</v>
      </c>
      <c r="J57" s="135">
        <v>0.2422</v>
      </c>
      <c r="K57" s="136">
        <f>(I57*I4+J57*J4)/K4</f>
        <v>0.2592063237967858</v>
      </c>
      <c r="L57" s="133">
        <v>0.1805</v>
      </c>
      <c r="M57" s="159"/>
      <c r="N57" s="159"/>
      <c r="O57" s="159"/>
      <c r="P57" s="159"/>
      <c r="Q57" s="159"/>
      <c r="R57" s="159"/>
    </row>
    <row r="58" spans="1:18" ht="12">
      <c r="A58" s="141"/>
      <c r="B58" s="23" t="s">
        <v>70</v>
      </c>
      <c r="C58" s="23"/>
      <c r="D58" s="23"/>
      <c r="E58" s="23"/>
      <c r="F58" s="38"/>
      <c r="G58" s="86"/>
      <c r="H58" s="119"/>
      <c r="I58" s="142"/>
      <c r="J58" s="143"/>
      <c r="K58" s="144"/>
      <c r="L58" s="145"/>
      <c r="M58" s="159"/>
      <c r="N58" s="159"/>
      <c r="O58" s="159"/>
      <c r="P58" s="159"/>
      <c r="Q58" s="159"/>
      <c r="R58" s="159"/>
    </row>
    <row r="59" spans="1:18" ht="12">
      <c r="A59" s="17" t="s">
        <v>71</v>
      </c>
      <c r="B59" s="18" t="s">
        <v>72</v>
      </c>
      <c r="C59" s="18"/>
      <c r="D59" s="18"/>
      <c r="E59" s="18"/>
      <c r="F59" s="17"/>
      <c r="G59" s="146"/>
      <c r="H59" s="29"/>
      <c r="I59" s="28"/>
      <c r="J59" s="28"/>
      <c r="K59" s="29"/>
      <c r="L59" s="51"/>
      <c r="M59" s="159"/>
      <c r="N59" s="159"/>
      <c r="O59" s="159"/>
      <c r="P59" s="159"/>
      <c r="Q59" s="159"/>
      <c r="R59" s="159"/>
    </row>
    <row r="60" spans="1:18" ht="12">
      <c r="A60" s="49"/>
      <c r="B60" s="52" t="s">
        <v>11</v>
      </c>
      <c r="C60" s="52" t="s">
        <v>73</v>
      </c>
      <c r="D60" s="52"/>
      <c r="E60" s="50"/>
      <c r="F60" s="49"/>
      <c r="G60" s="147"/>
      <c r="H60" s="79">
        <f>(H48)*H55</f>
        <v>0.01291466135021958</v>
      </c>
      <c r="I60" s="52"/>
      <c r="J60" s="52"/>
      <c r="K60" s="79">
        <f>(K48)*K55</f>
        <v>0.009708824348148836</v>
      </c>
      <c r="L60" s="148">
        <f>(L48)*L55</f>
        <v>0.0052307537109093525</v>
      </c>
      <c r="M60" s="159"/>
      <c r="N60" s="159"/>
      <c r="O60" s="159"/>
      <c r="P60" s="159"/>
      <c r="Q60" s="159"/>
      <c r="R60" s="159"/>
    </row>
    <row r="61" spans="1:18" ht="12">
      <c r="A61" s="57"/>
      <c r="B61" s="149" t="s">
        <v>13</v>
      </c>
      <c r="C61" s="149" t="s">
        <v>74</v>
      </c>
      <c r="D61" s="149"/>
      <c r="E61" s="23"/>
      <c r="F61" s="141"/>
      <c r="G61" s="150"/>
      <c r="H61" s="115">
        <f>(H49)*H55</f>
        <v>0.047659329778719214</v>
      </c>
      <c r="I61" s="149"/>
      <c r="J61" s="149"/>
      <c r="K61" s="115">
        <f>(K49)*K55</f>
        <v>0.0278168</v>
      </c>
      <c r="L61" s="151">
        <f>(L49)*L55</f>
        <v>0.018512852305045097</v>
      </c>
      <c r="M61" s="159"/>
      <c r="N61" s="159"/>
      <c r="O61" s="159"/>
      <c r="P61" s="159"/>
      <c r="Q61" s="159"/>
      <c r="R61" s="159"/>
    </row>
    <row r="62" spans="1:18" ht="12">
      <c r="A62" s="141"/>
      <c r="B62" s="23" t="s">
        <v>75</v>
      </c>
      <c r="C62" s="23"/>
      <c r="D62" s="23"/>
      <c r="E62" s="23"/>
      <c r="F62" s="141"/>
      <c r="G62" s="150"/>
      <c r="H62" s="119">
        <f>(H50)*H55</f>
        <v>0.06057399112893879</v>
      </c>
      <c r="I62" s="149"/>
      <c r="J62" s="149"/>
      <c r="K62" s="119">
        <f>(K50)*K55</f>
        <v>0.03752562434814884</v>
      </c>
      <c r="L62" s="152">
        <f>(L50)*L55</f>
        <v>0.023743606015954447</v>
      </c>
      <c r="M62" s="159"/>
      <c r="N62" s="159"/>
      <c r="O62" s="159"/>
      <c r="P62" s="159"/>
      <c r="Q62" s="159"/>
      <c r="R62" s="159"/>
    </row>
    <row r="63" spans="1:18" ht="12">
      <c r="A63" s="153" t="s">
        <v>76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9"/>
      <c r="N63" s="159"/>
      <c r="O63" s="159"/>
      <c r="P63" s="159"/>
      <c r="Q63" s="159"/>
      <c r="R63" s="159"/>
    </row>
    <row r="64" spans="1:18" ht="12">
      <c r="A64" s="154" t="s">
        <v>77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9"/>
      <c r="N64" s="159"/>
      <c r="O64" s="159"/>
      <c r="P64" s="159"/>
      <c r="Q64" s="159"/>
      <c r="R64" s="159"/>
    </row>
    <row r="65" spans="1:18" ht="12">
      <c r="A65" s="154" t="s">
        <v>78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9"/>
      <c r="N65" s="159"/>
      <c r="O65" s="159"/>
      <c r="P65" s="159"/>
      <c r="Q65" s="159"/>
      <c r="R65" s="159"/>
    </row>
    <row r="66" spans="1:18" ht="12">
      <c r="A66" s="154" t="s">
        <v>79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9"/>
      <c r="N66" s="159"/>
      <c r="O66" s="159"/>
      <c r="P66" s="159"/>
      <c r="Q66" s="159"/>
      <c r="R66" s="159"/>
    </row>
    <row r="67" spans="1:18" ht="12">
      <c r="A67" s="154" t="s">
        <v>80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9"/>
      <c r="N67" s="159"/>
      <c r="O67" s="159"/>
      <c r="P67" s="159"/>
      <c r="Q67" s="159"/>
      <c r="R67" s="159"/>
    </row>
    <row r="68" spans="1:18" ht="12">
      <c r="A68" s="154" t="s">
        <v>81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9"/>
      <c r="N68" s="159"/>
      <c r="O68" s="159"/>
      <c r="P68" s="159"/>
      <c r="Q68" s="159"/>
      <c r="R68" s="159"/>
    </row>
    <row r="69" spans="1:18" ht="12">
      <c r="A69" s="159"/>
      <c r="B69" s="159"/>
      <c r="C69" s="159"/>
      <c r="D69" s="159"/>
      <c r="E69" s="159"/>
      <c r="F69" s="76"/>
      <c r="G69" s="76"/>
      <c r="H69" s="156"/>
      <c r="I69" s="76"/>
      <c r="J69" s="76"/>
      <c r="K69" s="76"/>
      <c r="L69" s="76"/>
      <c r="M69" s="159"/>
      <c r="N69" s="159"/>
      <c r="O69" s="159"/>
      <c r="P69" s="159"/>
      <c r="Q69" s="159"/>
      <c r="R69" s="159"/>
    </row>
    <row r="70" spans="1:18" ht="12">
      <c r="A70" s="159"/>
      <c r="B70" s="159"/>
      <c r="C70" s="159"/>
      <c r="D70" s="159"/>
      <c r="E70" s="159"/>
      <c r="F70" s="31"/>
      <c r="G70" s="31"/>
      <c r="H70" s="161"/>
      <c r="I70" s="31"/>
      <c r="J70" s="31"/>
      <c r="K70" s="33"/>
      <c r="L70" s="33"/>
      <c r="M70" s="159"/>
      <c r="N70" s="159"/>
      <c r="O70" s="159"/>
      <c r="P70" s="159"/>
      <c r="Q70" s="159"/>
      <c r="R70" s="159"/>
    </row>
    <row r="71" spans="1:18" ht="12">
      <c r="A71" s="159"/>
      <c r="B71" s="159"/>
      <c r="C71" s="159"/>
      <c r="D71" s="159"/>
      <c r="E71" s="159"/>
      <c r="F71" s="159"/>
      <c r="G71" s="132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</row>
    <row r="72" spans="1:18" ht="12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</row>
    <row r="73" spans="1:18" ht="12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</row>
    <row r="74" spans="1:18" ht="12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</row>
    <row r="75" spans="1:18" ht="12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</row>
    <row r="76" spans="1:18" ht="12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</row>
    <row r="77" spans="1:18" ht="12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</row>
    <row r="78" spans="1:18" ht="12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</row>
    <row r="79" spans="1:18" ht="12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</row>
    <row r="80" spans="1:18" ht="12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</row>
    <row r="81" spans="1:18" ht="12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</row>
    <row r="82" spans="1:18" ht="12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</row>
    <row r="83" spans="1:18" ht="12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</row>
    <row r="84" spans="1:18" ht="12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</row>
    <row r="85" spans="1:18" ht="12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</row>
    <row r="86" spans="1:18" ht="12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</row>
    <row r="87" spans="1:18" ht="12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</row>
    <row r="88" spans="1:18" ht="12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</row>
    <row r="89" spans="1:18" ht="12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</row>
    <row r="90" spans="1:18" ht="12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</row>
    <row r="91" spans="1:18" ht="12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</row>
    <row r="92" spans="1:18" ht="12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</row>
    <row r="93" spans="13:18" ht="12">
      <c r="M93" s="159"/>
      <c r="N93" s="159"/>
      <c r="O93" s="159"/>
      <c r="P93" s="159"/>
      <c r="Q93" s="159"/>
      <c r="R93" s="159"/>
    </row>
    <row r="94" spans="13:18" ht="12">
      <c r="M94" s="159"/>
      <c r="N94" s="159"/>
      <c r="O94" s="159"/>
      <c r="P94" s="159"/>
      <c r="Q94" s="159"/>
      <c r="R94" s="159"/>
    </row>
    <row r="95" spans="13:18" ht="12">
      <c r="M95" s="159"/>
      <c r="N95" s="159"/>
      <c r="O95" s="159"/>
      <c r="P95" s="159"/>
      <c r="Q95" s="159"/>
      <c r="R95" s="159"/>
    </row>
    <row r="96" spans="13:18" ht="12">
      <c r="M96" s="159"/>
      <c r="N96" s="159"/>
      <c r="O96" s="159"/>
      <c r="P96" s="159"/>
      <c r="Q96" s="159"/>
      <c r="R96" s="159"/>
    </row>
    <row r="97" spans="13:18" ht="12">
      <c r="M97" s="159"/>
      <c r="N97" s="159"/>
      <c r="O97" s="159"/>
      <c r="P97" s="159"/>
      <c r="Q97" s="159"/>
      <c r="R97" s="159"/>
    </row>
    <row r="98" spans="13:18" ht="12">
      <c r="M98" s="159"/>
      <c r="N98" s="159"/>
      <c r="O98" s="159"/>
      <c r="P98" s="159"/>
      <c r="Q98" s="159"/>
      <c r="R98" s="159"/>
    </row>
    <row r="99" spans="13:18" ht="12">
      <c r="M99" s="159"/>
      <c r="N99" s="159"/>
      <c r="O99" s="159"/>
      <c r="P99" s="159"/>
      <c r="Q99" s="159"/>
      <c r="R99" s="159"/>
    </row>
    <row r="100" spans="13:18" ht="12">
      <c r="M100" s="159"/>
      <c r="N100" s="159"/>
      <c r="O100" s="159"/>
      <c r="P100" s="159"/>
      <c r="Q100" s="159"/>
      <c r="R100" s="159"/>
    </row>
    <row r="101" spans="13:18" ht="12">
      <c r="M101" s="159"/>
      <c r="N101" s="159"/>
      <c r="O101" s="159"/>
      <c r="P101" s="159"/>
      <c r="Q101" s="159"/>
      <c r="R101" s="159"/>
    </row>
    <row r="102" spans="13:18" ht="12">
      <c r="M102" s="159"/>
      <c r="N102" s="159"/>
      <c r="O102" s="159"/>
      <c r="P102" s="159"/>
      <c r="Q102" s="159"/>
      <c r="R102" s="159"/>
    </row>
    <row r="103" spans="13:18" ht="12">
      <c r="M103" s="159"/>
      <c r="N103" s="159"/>
      <c r="O103" s="159"/>
      <c r="P103" s="159"/>
      <c r="Q103" s="159"/>
      <c r="R103" s="159"/>
    </row>
    <row r="104" spans="13:18" ht="12">
      <c r="M104" s="159"/>
      <c r="N104" s="159"/>
      <c r="O104" s="159"/>
      <c r="P104" s="159"/>
      <c r="Q104" s="159"/>
      <c r="R104" s="159"/>
    </row>
    <row r="105" spans="13:18" ht="12">
      <c r="M105" s="159"/>
      <c r="N105" s="159"/>
      <c r="O105" s="159"/>
      <c r="P105" s="159"/>
      <c r="Q105" s="159"/>
      <c r="R105" s="159"/>
    </row>
  </sheetData>
  <mergeCells count="10">
    <mergeCell ref="A67:L67"/>
    <mergeCell ref="A68:L68"/>
    <mergeCell ref="A63:L63"/>
    <mergeCell ref="A64:L64"/>
    <mergeCell ref="A65:L65"/>
    <mergeCell ref="A66:L66"/>
    <mergeCell ref="A1:L1"/>
    <mergeCell ref="F2:H2"/>
    <mergeCell ref="I2:K2"/>
    <mergeCell ref="A41:E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lap</cp:lastModifiedBy>
  <dcterms:created xsi:type="dcterms:W3CDTF">2007-06-07T06:20:28Z</dcterms:created>
  <dcterms:modified xsi:type="dcterms:W3CDTF">2007-06-07T06:22:43Z</dcterms:modified>
  <cp:category/>
  <cp:version/>
  <cp:contentType/>
  <cp:contentStatus/>
</cp:coreProperties>
</file>