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24" windowWidth="13248" windowHeight="9624" activeTab="3"/>
  </bookViews>
  <sheets>
    <sheet name="Per HS" sheetId="1" r:id="rId1"/>
    <sheet name="Per provincie" sheetId="2" r:id="rId2"/>
    <sheet name="VKSO HBO5" sheetId="3" r:id="rId3"/>
    <sheet name="HS en HBO5 samen" sheetId="4" r:id="rId4"/>
  </sheets>
  <definedNames>
    <definedName name="_xlnm.Print_Titles" localSheetId="0">'Per HS'!$1:$2</definedName>
  </definedNames>
  <calcPr fullCalcOnLoad="1"/>
</workbook>
</file>

<file path=xl/sharedStrings.xml><?xml version="1.0" encoding="utf-8"?>
<sst xmlns="http://schemas.openxmlformats.org/spreadsheetml/2006/main" count="267" uniqueCount="62">
  <si>
    <t>Artesis</t>
  </si>
  <si>
    <t>Antwerpen</t>
  </si>
  <si>
    <t>Mechelen</t>
  </si>
  <si>
    <t>Ahs</t>
  </si>
  <si>
    <t>Gent</t>
  </si>
  <si>
    <t>EhB</t>
  </si>
  <si>
    <t>Anderlecht</t>
  </si>
  <si>
    <t>HoGent</t>
  </si>
  <si>
    <t>HOWEST</t>
  </si>
  <si>
    <t>Oostende</t>
  </si>
  <si>
    <t>HUB-EHSAL</t>
  </si>
  <si>
    <t>Brussel</t>
  </si>
  <si>
    <t>KaHo Sint-Lieven</t>
  </si>
  <si>
    <t>Aalst</t>
  </si>
  <si>
    <t>Sint-Niklaas</t>
  </si>
  <si>
    <t>KATHO</t>
  </si>
  <si>
    <t>Kortrijk</t>
  </si>
  <si>
    <t>Roeselare</t>
  </si>
  <si>
    <t>KdG</t>
  </si>
  <si>
    <t xml:space="preserve">KHBO </t>
  </si>
  <si>
    <t>Brugge</t>
  </si>
  <si>
    <t>K.H.Kempen</t>
  </si>
  <si>
    <t>Lier</t>
  </si>
  <si>
    <t>Turnhout</t>
  </si>
  <si>
    <t>KHLeuven</t>
  </si>
  <si>
    <t>Leuven</t>
  </si>
  <si>
    <t>KHLim</t>
  </si>
  <si>
    <t>Hasselt</t>
  </si>
  <si>
    <t>Lessius Mechelen (KHM)</t>
  </si>
  <si>
    <t>PHL</t>
  </si>
  <si>
    <t>4/10/2004</t>
  </si>
  <si>
    <t>4/10/2005</t>
  </si>
  <si>
    <t>4/10/2006</t>
  </si>
  <si>
    <t>4/10/2007</t>
  </si>
  <si>
    <t>4/10/2008</t>
  </si>
  <si>
    <t>4/10/2009</t>
  </si>
  <si>
    <t>4/10/2010</t>
  </si>
  <si>
    <t>ANTWERPEN</t>
  </si>
  <si>
    <t>OOST-VLAANDEREN</t>
  </si>
  <si>
    <t>WEST-VLAANDEREN</t>
  </si>
  <si>
    <t>LIMBURG</t>
  </si>
  <si>
    <t>VLAAMS-BRABANT</t>
  </si>
  <si>
    <t>BRUSSEL</t>
  </si>
  <si>
    <t>TOTAAL</t>
  </si>
  <si>
    <t>VERPLEEGKUNDE</t>
  </si>
  <si>
    <t>VROEDKUNDE</t>
  </si>
  <si>
    <t>MEDISCHE BEELDV.</t>
  </si>
  <si>
    <t>TOTAAL AANTAL STUDENTEN</t>
  </si>
  <si>
    <t>Aandeel generatiestudenten</t>
  </si>
  <si>
    <t xml:space="preserve">GENERATIESTUDENTEN </t>
  </si>
  <si>
    <t>+ of - 
'10 -'09</t>
  </si>
  <si>
    <t>+ of -
'04 vs'10</t>
  </si>
  <si>
    <t>HBO5 verpleegkunde</t>
  </si>
  <si>
    <t>Getallen VVKSO (HBO5 in het katholieke net, dit is 80 % van alle HBO5 opleidingen)</t>
  </si>
  <si>
    <t>Totaal 2009</t>
  </si>
  <si>
    <t>Totaal 2010</t>
  </si>
  <si>
    <t>Verschil</t>
  </si>
  <si>
    <t>Bachelor</t>
  </si>
  <si>
    <t>Gegrad.</t>
  </si>
  <si>
    <t>Gegrad</t>
  </si>
  <si>
    <t>Verschil absoluut</t>
  </si>
  <si>
    <t xml:space="preserve">VLAAMS-BRABANT en Brussel 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</si>
</sst>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81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7"/>
      <color indexed="62"/>
      <name val="Arial"/>
      <family val="2"/>
    </font>
    <font>
      <i/>
      <sz val="7"/>
      <color indexed="61"/>
      <name val="Arial"/>
      <family val="2"/>
    </font>
    <font>
      <i/>
      <sz val="7"/>
      <color indexed="55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color indexed="61"/>
      <name val="Arial"/>
      <family val="2"/>
    </font>
    <font>
      <sz val="7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7"/>
      <color indexed="61"/>
      <name val="Arial"/>
      <family val="2"/>
    </font>
    <font>
      <b/>
      <i/>
      <sz val="7"/>
      <color indexed="55"/>
      <name val="Arial"/>
      <family val="2"/>
    </font>
    <font>
      <b/>
      <sz val="10"/>
      <color indexed="9"/>
      <name val="Arial"/>
      <family val="2"/>
    </font>
    <font>
      <b/>
      <i/>
      <sz val="8"/>
      <color indexed="61"/>
      <name val="Arial"/>
      <family val="2"/>
    </font>
    <font>
      <b/>
      <sz val="8"/>
      <name val="Arial"/>
      <family val="2"/>
    </font>
    <font>
      <b/>
      <i/>
      <sz val="8"/>
      <color indexed="55"/>
      <name val="Arial"/>
      <family val="2"/>
    </font>
    <font>
      <b/>
      <i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61"/>
      <name val="Arial"/>
      <family val="2"/>
    </font>
    <font>
      <b/>
      <sz val="11"/>
      <color indexed="8"/>
      <name val="Arial"/>
      <family val="2"/>
    </font>
    <font>
      <b/>
      <sz val="7"/>
      <color indexed="12"/>
      <name val="Arial"/>
      <family val="2"/>
    </font>
    <font>
      <b/>
      <sz val="7"/>
      <color indexed="14"/>
      <name val="Arial"/>
      <family val="2"/>
    </font>
    <font>
      <b/>
      <sz val="7"/>
      <color indexed="13"/>
      <name val="Arial"/>
      <family val="2"/>
    </font>
    <font>
      <b/>
      <sz val="7"/>
      <color indexed="15"/>
      <name val="Arial"/>
      <family val="2"/>
    </font>
    <font>
      <b/>
      <sz val="7"/>
      <color indexed="61"/>
      <name val="Arial"/>
      <family val="2"/>
    </font>
    <font>
      <sz val="18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21"/>
      <name val="Arial"/>
      <family val="0"/>
    </font>
    <font>
      <b/>
      <sz val="8"/>
      <color indexed="12"/>
      <name val="Arial"/>
      <family val="0"/>
    </font>
    <font>
      <b/>
      <sz val="8"/>
      <color indexed="15"/>
      <name val="Arial"/>
      <family val="0"/>
    </font>
    <font>
      <b/>
      <sz val="8"/>
      <color indexed="13"/>
      <name val="Arial"/>
      <family val="0"/>
    </font>
    <font>
      <b/>
      <sz val="8"/>
      <color indexed="11"/>
      <name val="Arial"/>
      <family val="0"/>
    </font>
    <font>
      <b/>
      <sz val="8"/>
      <color indexed="14"/>
      <name val="Arial"/>
      <family val="0"/>
    </font>
    <font>
      <sz val="7.35"/>
      <color indexed="8"/>
      <name val="Arial"/>
      <family val="0"/>
    </font>
    <font>
      <sz val="8.95"/>
      <color indexed="8"/>
      <name val="Arial"/>
      <family val="0"/>
    </font>
    <font>
      <sz val="14.25"/>
      <color indexed="8"/>
      <name val="Arial"/>
      <family val="0"/>
    </font>
    <font>
      <b/>
      <sz val="8"/>
      <color indexed="18"/>
      <name val="Arial"/>
      <family val="0"/>
    </font>
    <font>
      <b/>
      <sz val="8"/>
      <color indexed="20"/>
      <name val="Arial"/>
      <family val="0"/>
    </font>
    <font>
      <b/>
      <sz val="8"/>
      <color indexed="8"/>
      <name val="Arial"/>
      <family val="0"/>
    </font>
    <font>
      <sz val="16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7"/>
      <color indexed="8"/>
      <name val="Arial"/>
      <family val="0"/>
    </font>
    <font>
      <b/>
      <sz val="1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7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0" fillId="31" borderId="7" applyNumberFormat="0" applyFont="0" applyAlignment="0" applyProtection="0"/>
    <xf numFmtId="0" fontId="75" fillId="32" borderId="0" applyNumberFormat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vertical="top"/>
      <protection locked="0"/>
    </xf>
    <xf numFmtId="3" fontId="1" fillId="0" borderId="10" xfId="0" applyNumberFormat="1" applyFont="1" applyFill="1" applyBorder="1" applyAlignment="1" applyProtection="1">
      <alignment vertical="top"/>
      <protection locked="0"/>
    </xf>
    <xf numFmtId="3" fontId="1" fillId="0" borderId="11" xfId="0" applyNumberFormat="1" applyFont="1" applyFill="1" applyBorder="1" applyAlignment="1" applyProtection="1">
      <alignment vertical="top"/>
      <protection locked="0"/>
    </xf>
    <xf numFmtId="3" fontId="1" fillId="33" borderId="10" xfId="0" applyNumberFormat="1" applyFont="1" applyFill="1" applyBorder="1" applyAlignment="1" applyProtection="1">
      <alignment vertical="top"/>
      <protection locked="0"/>
    </xf>
    <xf numFmtId="3" fontId="2" fillId="33" borderId="10" xfId="0" applyNumberFormat="1" applyFont="1" applyFill="1" applyBorder="1" applyAlignment="1" applyProtection="1">
      <alignment vertical="top"/>
      <protection locked="0"/>
    </xf>
    <xf numFmtId="10" fontId="1" fillId="0" borderId="0" xfId="0" applyNumberFormat="1" applyFont="1" applyFill="1" applyBorder="1" applyAlignment="1" applyProtection="1">
      <alignment vertical="top"/>
      <protection locked="0"/>
    </xf>
    <xf numFmtId="0" fontId="1" fillId="0" borderId="11" xfId="0" applyFont="1" applyFill="1" applyBorder="1" applyAlignment="1" applyProtection="1">
      <alignment vertical="top"/>
      <protection locked="0"/>
    </xf>
    <xf numFmtId="0" fontId="1" fillId="33" borderId="10" xfId="0" applyFont="1" applyFill="1" applyBorder="1" applyAlignment="1" applyProtection="1">
      <alignment vertical="top"/>
      <protection locked="0"/>
    </xf>
    <xf numFmtId="0" fontId="2" fillId="33" borderId="1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>
      <alignment vertical="center"/>
    </xf>
    <xf numFmtId="0" fontId="1" fillId="33" borderId="10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top"/>
      <protection locked="0"/>
    </xf>
    <xf numFmtId="3" fontId="2" fillId="33" borderId="11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3" fontId="5" fillId="0" borderId="0" xfId="0" applyNumberFormat="1" applyFont="1" applyFill="1" applyBorder="1" applyAlignment="1" applyProtection="1">
      <alignment vertical="top"/>
      <protection locked="0"/>
    </xf>
    <xf numFmtId="3" fontId="6" fillId="0" borderId="0" xfId="0" applyNumberFormat="1" applyFont="1" applyFill="1" applyBorder="1" applyAlignment="1" applyProtection="1">
      <alignment vertical="top"/>
      <protection locked="0"/>
    </xf>
    <xf numFmtId="3" fontId="6" fillId="33" borderId="0" xfId="0" applyNumberFormat="1" applyFont="1" applyFill="1" applyBorder="1" applyAlignment="1" applyProtection="1">
      <alignment vertical="top"/>
      <protection locked="0"/>
    </xf>
    <xf numFmtId="3" fontId="7" fillId="33" borderId="0" xfId="0" applyNumberFormat="1" applyFont="1" applyFill="1" applyBorder="1" applyAlignment="1" applyProtection="1">
      <alignment vertical="top"/>
      <protection locked="0"/>
    </xf>
    <xf numFmtId="9" fontId="8" fillId="0" borderId="0" xfId="0" applyNumberFormat="1" applyFont="1" applyFill="1" applyBorder="1" applyAlignment="1" applyProtection="1">
      <alignment vertical="top"/>
      <protection locked="0"/>
    </xf>
    <xf numFmtId="3" fontId="1" fillId="0" borderId="0" xfId="0" applyNumberFormat="1" applyFont="1" applyFill="1" applyBorder="1" applyAlignment="1" applyProtection="1">
      <alignment vertical="top"/>
      <protection locked="0"/>
    </xf>
    <xf numFmtId="0" fontId="2" fillId="34" borderId="0" xfId="0" applyFont="1" applyFill="1" applyBorder="1" applyAlignment="1" applyProtection="1">
      <alignment vertical="top"/>
      <protection locked="0"/>
    </xf>
    <xf numFmtId="0" fontId="1" fillId="35" borderId="10" xfId="0" applyFont="1" applyFill="1" applyBorder="1" applyAlignment="1" applyProtection="1">
      <alignment vertical="top"/>
      <protection locked="0"/>
    </xf>
    <xf numFmtId="3" fontId="1" fillId="35" borderId="10" xfId="0" applyNumberFormat="1" applyFont="1" applyFill="1" applyBorder="1" applyAlignment="1" applyProtection="1">
      <alignment vertical="top"/>
      <protection locked="0"/>
    </xf>
    <xf numFmtId="3" fontId="1" fillId="35" borderId="11" xfId="0" applyNumberFormat="1" applyFont="1" applyFill="1" applyBorder="1" applyAlignment="1" applyProtection="1">
      <alignment vertical="top"/>
      <protection locked="0"/>
    </xf>
    <xf numFmtId="0" fontId="1" fillId="35" borderId="11" xfId="0" applyFont="1" applyFill="1" applyBorder="1" applyAlignment="1" applyProtection="1">
      <alignment vertical="top"/>
      <protection locked="0"/>
    </xf>
    <xf numFmtId="0" fontId="1" fillId="36" borderId="10" xfId="0" applyFont="1" applyFill="1" applyBorder="1" applyAlignment="1" applyProtection="1">
      <alignment vertical="top"/>
      <protection locked="0"/>
    </xf>
    <xf numFmtId="0" fontId="1" fillId="35" borderId="10" xfId="0" applyFont="1" applyFill="1" applyBorder="1" applyAlignment="1" applyProtection="1">
      <alignment vertical="center"/>
      <protection locked="0"/>
    </xf>
    <xf numFmtId="0" fontId="1" fillId="37" borderId="10" xfId="0" applyFont="1" applyFill="1" applyBorder="1" applyAlignment="1" applyProtection="1">
      <alignment vertical="top"/>
      <protection locked="0"/>
    </xf>
    <xf numFmtId="3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1" fillId="38" borderId="10" xfId="0" applyFont="1" applyFill="1" applyBorder="1" applyAlignment="1" applyProtection="1">
      <alignment vertical="top"/>
      <protection locked="0"/>
    </xf>
    <xf numFmtId="3" fontId="2" fillId="35" borderId="10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3" fontId="2" fillId="36" borderId="10" xfId="0" applyNumberFormat="1" applyFont="1" applyFill="1" applyBorder="1" applyAlignment="1" applyProtection="1">
      <alignment vertical="top"/>
      <protection locked="0"/>
    </xf>
    <xf numFmtId="10" fontId="2" fillId="0" borderId="0" xfId="0" applyNumberFormat="1" applyFont="1" applyFill="1" applyBorder="1" applyAlignment="1" applyProtection="1">
      <alignment vertical="top"/>
      <protection locked="0"/>
    </xf>
    <xf numFmtId="3" fontId="2" fillId="39" borderId="10" xfId="0" applyNumberFormat="1" applyFont="1" applyFill="1" applyBorder="1" applyAlignment="1" applyProtection="1">
      <alignment vertical="top"/>
      <protection locked="0"/>
    </xf>
    <xf numFmtId="3" fontId="2" fillId="38" borderId="10" xfId="0" applyNumberFormat="1" applyFont="1" applyFill="1" applyBorder="1" applyAlignment="1" applyProtection="1">
      <alignment vertical="top"/>
      <protection locked="0"/>
    </xf>
    <xf numFmtId="3" fontId="2" fillId="40" borderId="10" xfId="0" applyNumberFormat="1" applyFont="1" applyFill="1" applyBorder="1" applyAlignment="1" applyProtection="1">
      <alignment vertical="top"/>
      <protection locked="0"/>
    </xf>
    <xf numFmtId="0" fontId="13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vertical="top"/>
      <protection locked="0"/>
    </xf>
    <xf numFmtId="0" fontId="16" fillId="41" borderId="0" xfId="0" applyFont="1" applyFill="1" applyAlignment="1">
      <alignment/>
    </xf>
    <xf numFmtId="0" fontId="2" fillId="33" borderId="11" xfId="0" applyFont="1" applyFill="1" applyBorder="1" applyAlignment="1" applyProtection="1">
      <alignment vertical="top"/>
      <protection locked="0"/>
    </xf>
    <xf numFmtId="3" fontId="2" fillId="36" borderId="11" xfId="0" applyNumberFormat="1" applyFont="1" applyFill="1" applyBorder="1" applyAlignment="1" applyProtection="1">
      <alignment vertical="top"/>
      <protection locked="0"/>
    </xf>
    <xf numFmtId="0" fontId="3" fillId="33" borderId="11" xfId="0" applyFont="1" applyFill="1" applyBorder="1" applyAlignment="1" applyProtection="1">
      <alignment vertical="top"/>
      <protection locked="0"/>
    </xf>
    <xf numFmtId="3" fontId="2" fillId="35" borderId="11" xfId="0" applyNumberFormat="1" applyFont="1" applyFill="1" applyBorder="1" applyAlignment="1" applyProtection="1">
      <alignment vertical="top"/>
      <protection locked="0"/>
    </xf>
    <xf numFmtId="3" fontId="2" fillId="39" borderId="11" xfId="0" applyNumberFormat="1" applyFont="1" applyFill="1" applyBorder="1" applyAlignment="1" applyProtection="1">
      <alignment vertical="top"/>
      <protection locked="0"/>
    </xf>
    <xf numFmtId="3" fontId="2" fillId="38" borderId="11" xfId="0" applyNumberFormat="1" applyFont="1" applyFill="1" applyBorder="1" applyAlignment="1" applyProtection="1">
      <alignment vertical="top"/>
      <protection locked="0"/>
    </xf>
    <xf numFmtId="3" fontId="2" fillId="40" borderId="11" xfId="0" applyNumberFormat="1" applyFont="1" applyFill="1" applyBorder="1" applyAlignment="1" applyProtection="1">
      <alignment vertical="top"/>
      <protection locked="0"/>
    </xf>
    <xf numFmtId="0" fontId="2" fillId="35" borderId="11" xfId="0" applyFont="1" applyFill="1" applyBorder="1" applyAlignment="1" applyProtection="1">
      <alignment vertical="top"/>
      <protection locked="0"/>
    </xf>
    <xf numFmtId="10" fontId="1" fillId="0" borderId="10" xfId="0" applyNumberFormat="1" applyFont="1" applyFill="1" applyBorder="1" applyAlignment="1" applyProtection="1">
      <alignment vertical="top"/>
      <protection locked="0"/>
    </xf>
    <xf numFmtId="10" fontId="2" fillId="36" borderId="10" xfId="0" applyNumberFormat="1" applyFont="1" applyFill="1" applyBorder="1" applyAlignment="1" applyProtection="1">
      <alignment vertical="top"/>
      <protection locked="0"/>
    </xf>
    <xf numFmtId="10" fontId="2" fillId="35" borderId="10" xfId="0" applyNumberFormat="1" applyFont="1" applyFill="1" applyBorder="1" applyAlignment="1" applyProtection="1">
      <alignment vertical="top"/>
      <protection locked="0"/>
    </xf>
    <xf numFmtId="10" fontId="2" fillId="39" borderId="10" xfId="0" applyNumberFormat="1" applyFont="1" applyFill="1" applyBorder="1" applyAlignment="1" applyProtection="1">
      <alignment vertical="top"/>
      <protection locked="0"/>
    </xf>
    <xf numFmtId="10" fontId="2" fillId="38" borderId="10" xfId="0" applyNumberFormat="1" applyFont="1" applyFill="1" applyBorder="1" applyAlignment="1" applyProtection="1">
      <alignment vertical="top"/>
      <protection locked="0"/>
    </xf>
    <xf numFmtId="10" fontId="2" fillId="40" borderId="10" xfId="0" applyNumberFormat="1" applyFont="1" applyFill="1" applyBorder="1" applyAlignment="1" applyProtection="1">
      <alignment vertical="top"/>
      <protection locked="0"/>
    </xf>
    <xf numFmtId="10" fontId="1" fillId="35" borderId="10" xfId="0" applyNumberFormat="1" applyFont="1" applyFill="1" applyBorder="1" applyAlignment="1" applyProtection="1">
      <alignment vertical="top"/>
      <protection locked="0"/>
    </xf>
    <xf numFmtId="3" fontId="3" fillId="33" borderId="11" xfId="0" applyNumberFormat="1" applyFont="1" applyFill="1" applyBorder="1" applyAlignment="1" applyProtection="1">
      <alignment vertical="top"/>
      <protection locked="0"/>
    </xf>
    <xf numFmtId="3" fontId="2" fillId="42" borderId="12" xfId="0" applyNumberFormat="1" applyFont="1" applyFill="1" applyBorder="1" applyAlignment="1" applyProtection="1">
      <alignment vertical="top"/>
      <protection locked="0"/>
    </xf>
    <xf numFmtId="10" fontId="2" fillId="42" borderId="13" xfId="0" applyNumberFormat="1" applyFont="1" applyFill="1" applyBorder="1" applyAlignment="1" applyProtection="1">
      <alignment vertical="top"/>
      <protection locked="0"/>
    </xf>
    <xf numFmtId="0" fontId="1" fillId="0" borderId="14" xfId="0" applyFont="1" applyFill="1" applyBorder="1" applyAlignment="1" applyProtection="1">
      <alignment vertical="top"/>
      <protection locked="0"/>
    </xf>
    <xf numFmtId="0" fontId="1" fillId="0" borderId="15" xfId="0" applyFont="1" applyFill="1" applyBorder="1" applyAlignment="1" applyProtection="1">
      <alignment vertical="top"/>
      <protection locked="0"/>
    </xf>
    <xf numFmtId="3" fontId="1" fillId="0" borderId="15" xfId="0" applyNumberFormat="1" applyFont="1" applyFill="1" applyBorder="1" applyAlignment="1" applyProtection="1">
      <alignment vertical="top"/>
      <protection locked="0"/>
    </xf>
    <xf numFmtId="3" fontId="1" fillId="0" borderId="16" xfId="0" applyNumberFormat="1" applyFont="1" applyFill="1" applyBorder="1" applyAlignment="1" applyProtection="1">
      <alignment vertical="top"/>
      <protection locked="0"/>
    </xf>
    <xf numFmtId="3" fontId="1" fillId="33" borderId="15" xfId="0" applyNumberFormat="1" applyFont="1" applyFill="1" applyBorder="1" applyAlignment="1" applyProtection="1">
      <alignment vertical="top"/>
      <protection locked="0"/>
    </xf>
    <xf numFmtId="3" fontId="2" fillId="33" borderId="16" xfId="0" applyNumberFormat="1" applyFont="1" applyFill="1" applyBorder="1" applyAlignment="1" applyProtection="1">
      <alignment vertical="top"/>
      <protection locked="0"/>
    </xf>
    <xf numFmtId="10" fontId="1" fillId="0" borderId="15" xfId="0" applyNumberFormat="1" applyFont="1" applyFill="1" applyBorder="1" applyAlignment="1" applyProtection="1">
      <alignment vertical="top"/>
      <protection locked="0"/>
    </xf>
    <xf numFmtId="10" fontId="1" fillId="0" borderId="17" xfId="0" applyNumberFormat="1" applyFont="1" applyFill="1" applyBorder="1" applyAlignment="1" applyProtection="1">
      <alignment vertical="top"/>
      <protection locked="0"/>
    </xf>
    <xf numFmtId="0" fontId="1" fillId="0" borderId="16" xfId="0" applyFont="1" applyFill="1" applyBorder="1" applyAlignment="1" applyProtection="1">
      <alignment vertical="top"/>
      <protection locked="0"/>
    </xf>
    <xf numFmtId="0" fontId="1" fillId="33" borderId="15" xfId="0" applyFont="1" applyFill="1" applyBorder="1" applyAlignment="1" applyProtection="1">
      <alignment vertical="top"/>
      <protection locked="0"/>
    </xf>
    <xf numFmtId="0" fontId="2" fillId="33" borderId="16" xfId="0" applyFont="1" applyFill="1" applyBorder="1" applyAlignment="1" applyProtection="1">
      <alignment vertical="top"/>
      <protection locked="0"/>
    </xf>
    <xf numFmtId="10" fontId="1" fillId="0" borderId="18" xfId="0" applyNumberFormat="1" applyFont="1" applyFill="1" applyBorder="1" applyAlignment="1" applyProtection="1">
      <alignment vertical="top"/>
      <protection locked="0"/>
    </xf>
    <xf numFmtId="0" fontId="1" fillId="0" borderId="19" xfId="0" applyFont="1" applyFill="1" applyBorder="1" applyAlignment="1" applyProtection="1">
      <alignment vertical="top"/>
      <protection locked="0"/>
    </xf>
    <xf numFmtId="10" fontId="1" fillId="0" borderId="20" xfId="0" applyNumberFormat="1" applyFont="1" applyFill="1" applyBorder="1" applyAlignment="1" applyProtection="1">
      <alignment vertical="top"/>
      <protection locked="0"/>
    </xf>
    <xf numFmtId="10" fontId="2" fillId="36" borderId="20" xfId="0" applyNumberFormat="1" applyFont="1" applyFill="1" applyBorder="1" applyAlignment="1" applyProtection="1">
      <alignment vertical="top"/>
      <protection locked="0"/>
    </xf>
    <xf numFmtId="10" fontId="2" fillId="35" borderId="20" xfId="0" applyNumberFormat="1" applyFont="1" applyFill="1" applyBorder="1" applyAlignment="1" applyProtection="1">
      <alignment vertical="top"/>
      <protection locked="0"/>
    </xf>
    <xf numFmtId="10" fontId="2" fillId="39" borderId="20" xfId="0" applyNumberFormat="1" applyFont="1" applyFill="1" applyBorder="1" applyAlignment="1" applyProtection="1">
      <alignment vertical="top"/>
      <protection locked="0"/>
    </xf>
    <xf numFmtId="10" fontId="2" fillId="38" borderId="20" xfId="0" applyNumberFormat="1" applyFont="1" applyFill="1" applyBorder="1" applyAlignment="1" applyProtection="1">
      <alignment vertical="top"/>
      <protection locked="0"/>
    </xf>
    <xf numFmtId="10" fontId="2" fillId="40" borderId="20" xfId="0" applyNumberFormat="1" applyFont="1" applyFill="1" applyBorder="1" applyAlignment="1" applyProtection="1">
      <alignment vertical="top"/>
      <protection locked="0"/>
    </xf>
    <xf numFmtId="10" fontId="1" fillId="35" borderId="20" xfId="0" applyNumberFormat="1" applyFont="1" applyFill="1" applyBorder="1" applyAlignment="1" applyProtection="1">
      <alignment vertical="top"/>
      <protection locked="0"/>
    </xf>
    <xf numFmtId="10" fontId="2" fillId="42" borderId="21" xfId="0" applyNumberFormat="1" applyFont="1" applyFill="1" applyBorder="1" applyAlignment="1" applyProtection="1">
      <alignment vertical="top"/>
      <protection locked="0"/>
    </xf>
    <xf numFmtId="0" fontId="5" fillId="0" borderId="22" xfId="0" applyFont="1" applyFill="1" applyBorder="1" applyAlignment="1" applyProtection="1">
      <alignment vertical="top"/>
      <protection locked="0"/>
    </xf>
    <xf numFmtId="0" fontId="1" fillId="40" borderId="11" xfId="0" applyFont="1" applyFill="1" applyBorder="1" applyAlignment="1" applyProtection="1">
      <alignment vertical="top"/>
      <protection locked="0"/>
    </xf>
    <xf numFmtId="0" fontId="1" fillId="40" borderId="15" xfId="0" applyFont="1" applyFill="1" applyBorder="1" applyAlignment="1" applyProtection="1">
      <alignment vertical="top"/>
      <protection locked="0"/>
    </xf>
    <xf numFmtId="3" fontId="1" fillId="40" borderId="15" xfId="0" applyNumberFormat="1" applyFont="1" applyFill="1" applyBorder="1" applyAlignment="1" applyProtection="1">
      <alignment vertical="top"/>
      <protection locked="0"/>
    </xf>
    <xf numFmtId="3" fontId="2" fillId="40" borderId="15" xfId="0" applyNumberFormat="1" applyFont="1" applyFill="1" applyBorder="1" applyAlignment="1" applyProtection="1">
      <alignment vertical="top"/>
      <protection locked="0"/>
    </xf>
    <xf numFmtId="0" fontId="2" fillId="40" borderId="15" xfId="0" applyFont="1" applyFill="1" applyBorder="1" applyAlignment="1" applyProtection="1">
      <alignment vertical="top"/>
      <protection locked="0"/>
    </xf>
    <xf numFmtId="0" fontId="1" fillId="0" borderId="23" xfId="0" applyFont="1" applyFill="1" applyBorder="1" applyAlignment="1" applyProtection="1">
      <alignment vertical="top"/>
      <protection locked="0"/>
    </xf>
    <xf numFmtId="0" fontId="1" fillId="0" borderId="24" xfId="0" applyFont="1" applyFill="1" applyBorder="1" applyAlignment="1" applyProtection="1">
      <alignment vertical="top"/>
      <protection locked="0"/>
    </xf>
    <xf numFmtId="10" fontId="1" fillId="0" borderId="25" xfId="0" applyNumberFormat="1" applyFont="1" applyFill="1" applyBorder="1" applyAlignment="1" applyProtection="1">
      <alignment vertical="top"/>
      <protection locked="0"/>
    </xf>
    <xf numFmtId="0" fontId="14" fillId="0" borderId="17" xfId="0" applyFont="1" applyFill="1" applyBorder="1" applyAlignment="1" applyProtection="1">
      <alignment vertical="top"/>
      <protection locked="0"/>
    </xf>
    <xf numFmtId="0" fontId="15" fillId="0" borderId="22" xfId="0" applyFont="1" applyFill="1" applyBorder="1" applyAlignment="1" applyProtection="1">
      <alignment vertical="top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 applyProtection="1">
      <alignment vertical="top"/>
      <protection locked="0"/>
    </xf>
    <xf numFmtId="0" fontId="0" fillId="0" borderId="0" xfId="0" applyFill="1" applyAlignment="1">
      <alignment/>
    </xf>
    <xf numFmtId="10" fontId="1" fillId="0" borderId="0" xfId="0" applyNumberFormat="1" applyFont="1" applyFill="1" applyBorder="1" applyAlignment="1" applyProtection="1" quotePrefix="1">
      <alignment horizontal="center" vertical="top"/>
      <protection locked="0"/>
    </xf>
    <xf numFmtId="0" fontId="1" fillId="36" borderId="15" xfId="0" applyFont="1" applyFill="1" applyBorder="1" applyAlignment="1" applyProtection="1">
      <alignment vertical="top"/>
      <protection locked="0"/>
    </xf>
    <xf numFmtId="0" fontId="2" fillId="33" borderId="15" xfId="0" applyFont="1" applyFill="1" applyBorder="1" applyAlignment="1" applyProtection="1">
      <alignment vertical="top"/>
      <protection locked="0"/>
    </xf>
    <xf numFmtId="0" fontId="1" fillId="0" borderId="19" xfId="0" applyFont="1" applyFill="1" applyBorder="1" applyAlignment="1" applyProtection="1">
      <alignment vertical="top" wrapText="1"/>
      <protection locked="0"/>
    </xf>
    <xf numFmtId="0" fontId="1" fillId="0" borderId="19" xfId="0" applyFont="1" applyFill="1" applyBorder="1" applyAlignment="1" applyProtection="1">
      <alignment vertical="center"/>
      <protection locked="0"/>
    </xf>
    <xf numFmtId="0" fontId="1" fillId="0" borderId="17" xfId="0" applyFont="1" applyFill="1" applyBorder="1" applyAlignment="1" applyProtection="1">
      <alignment vertical="top"/>
      <protection locked="0"/>
    </xf>
    <xf numFmtId="3" fontId="9" fillId="0" borderId="0" xfId="0" applyNumberFormat="1" applyFont="1" applyFill="1" applyBorder="1" applyAlignment="1" applyProtection="1" quotePrefix="1">
      <alignment vertical="top"/>
      <protection locked="0"/>
    </xf>
    <xf numFmtId="3" fontId="1" fillId="0" borderId="0" xfId="0" applyNumberFormat="1" applyFont="1" applyFill="1" applyBorder="1" applyAlignment="1" applyProtection="1" quotePrefix="1">
      <alignment vertical="top"/>
      <protection locked="0"/>
    </xf>
    <xf numFmtId="0" fontId="16" fillId="43" borderId="0" xfId="0" applyFont="1" applyFill="1" applyAlignment="1">
      <alignment/>
    </xf>
    <xf numFmtId="0" fontId="16" fillId="44" borderId="0" xfId="0" applyFont="1" applyFill="1" applyAlignment="1">
      <alignment/>
    </xf>
    <xf numFmtId="10" fontId="18" fillId="0" borderId="0" xfId="0" applyNumberFormat="1" applyFont="1" applyFill="1" applyBorder="1" applyAlignment="1" applyProtection="1">
      <alignment vertical="top"/>
      <protection locked="0"/>
    </xf>
    <xf numFmtId="10" fontId="18" fillId="0" borderId="22" xfId="0" applyNumberFormat="1" applyFont="1" applyFill="1" applyBorder="1" applyAlignment="1" applyProtection="1">
      <alignment vertical="top"/>
      <protection locked="0"/>
    </xf>
    <xf numFmtId="3" fontId="17" fillId="0" borderId="10" xfId="0" applyNumberFormat="1" applyFont="1" applyFill="1" applyBorder="1" applyAlignment="1" applyProtection="1">
      <alignment vertical="top"/>
      <protection locked="0"/>
    </xf>
    <xf numFmtId="3" fontId="19" fillId="0" borderId="26" xfId="0" applyNumberFormat="1" applyFont="1" applyFill="1" applyBorder="1" applyAlignment="1" applyProtection="1">
      <alignment vertical="top"/>
      <protection locked="0"/>
    </xf>
    <xf numFmtId="3" fontId="20" fillId="0" borderId="26" xfId="0" applyNumberFormat="1" applyFont="1" applyFill="1" applyBorder="1" applyAlignment="1" applyProtection="1">
      <alignment vertical="top"/>
      <protection locked="0"/>
    </xf>
    <xf numFmtId="3" fontId="20" fillId="33" borderId="26" xfId="0" applyNumberFormat="1" applyFont="1" applyFill="1" applyBorder="1" applyAlignment="1" applyProtection="1">
      <alignment vertical="top"/>
      <protection locked="0"/>
    </xf>
    <xf numFmtId="9" fontId="22" fillId="0" borderId="26" xfId="0" applyNumberFormat="1" applyFont="1" applyFill="1" applyBorder="1" applyAlignment="1" applyProtection="1">
      <alignment vertical="top"/>
      <protection locked="0"/>
    </xf>
    <xf numFmtId="0" fontId="1" fillId="42" borderId="11" xfId="0" applyFont="1" applyFill="1" applyBorder="1" applyAlignment="1" applyProtection="1">
      <alignment vertical="top"/>
      <protection locked="0"/>
    </xf>
    <xf numFmtId="3" fontId="2" fillId="42" borderId="13" xfId="0" applyNumberFormat="1" applyFont="1" applyFill="1" applyBorder="1" applyAlignment="1" applyProtection="1">
      <alignment vertical="top"/>
      <protection locked="0"/>
    </xf>
    <xf numFmtId="3" fontId="17" fillId="0" borderId="15" xfId="0" applyNumberFormat="1" applyFont="1" applyFill="1" applyBorder="1" applyAlignment="1" applyProtection="1">
      <alignment vertical="top"/>
      <protection locked="0"/>
    </xf>
    <xf numFmtId="10" fontId="18" fillId="0" borderId="17" xfId="0" applyNumberFormat="1" applyFont="1" applyFill="1" applyBorder="1" applyAlignment="1" applyProtection="1">
      <alignment vertical="top"/>
      <protection locked="0"/>
    </xf>
    <xf numFmtId="0" fontId="4" fillId="0" borderId="17" xfId="0" applyFont="1" applyFill="1" applyBorder="1" applyAlignment="1" applyProtection="1">
      <alignment vertical="top"/>
      <protection locked="0"/>
    </xf>
    <xf numFmtId="3" fontId="1" fillId="33" borderId="0" xfId="0" applyNumberFormat="1" applyFont="1" applyFill="1" applyBorder="1" applyAlignment="1" applyProtection="1">
      <alignment vertical="top"/>
      <protection locked="0"/>
    </xf>
    <xf numFmtId="3" fontId="2" fillId="33" borderId="0" xfId="0" applyNumberFormat="1" applyFont="1" applyFill="1" applyBorder="1" applyAlignment="1" applyProtection="1">
      <alignment vertical="top"/>
      <protection locked="0"/>
    </xf>
    <xf numFmtId="0" fontId="1" fillId="33" borderId="0" xfId="0" applyFont="1" applyFill="1" applyBorder="1" applyAlignment="1" applyProtection="1">
      <alignment vertical="top"/>
      <protection locked="0"/>
    </xf>
    <xf numFmtId="0" fontId="2" fillId="33" borderId="0" xfId="0" applyFont="1" applyFill="1" applyBorder="1" applyAlignment="1" applyProtection="1">
      <alignment vertical="top"/>
      <protection locked="0"/>
    </xf>
    <xf numFmtId="0" fontId="17" fillId="0" borderId="0" xfId="0" applyFont="1" applyFill="1" applyBorder="1" applyAlignment="1" applyProtection="1">
      <alignment vertical="top"/>
      <protection locked="0"/>
    </xf>
    <xf numFmtId="10" fontId="21" fillId="41" borderId="18" xfId="0" applyNumberFormat="1" applyFont="1" applyFill="1" applyBorder="1" applyAlignment="1" applyProtection="1">
      <alignment vertical="top"/>
      <protection locked="0"/>
    </xf>
    <xf numFmtId="0" fontId="1" fillId="0" borderId="27" xfId="0" applyFont="1" applyFill="1" applyBorder="1" applyAlignment="1" applyProtection="1">
      <alignment vertical="top"/>
      <protection locked="0"/>
    </xf>
    <xf numFmtId="0" fontId="1" fillId="40" borderId="28" xfId="0" applyFont="1" applyFill="1" applyBorder="1" applyAlignment="1" applyProtection="1">
      <alignment vertical="top"/>
      <protection locked="0"/>
    </xf>
    <xf numFmtId="0" fontId="1" fillId="40" borderId="17" xfId="0" applyFont="1" applyFill="1" applyBorder="1" applyAlignment="1" applyProtection="1">
      <alignment vertical="top"/>
      <protection locked="0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10" fontId="21" fillId="44" borderId="10" xfId="0" applyNumberFormat="1" applyFont="1" applyFill="1" applyBorder="1" applyAlignment="1" applyProtection="1">
      <alignment vertical="top"/>
      <protection locked="0"/>
    </xf>
    <xf numFmtId="10" fontId="21" fillId="44" borderId="20" xfId="0" applyNumberFormat="1" applyFont="1" applyFill="1" applyBorder="1" applyAlignment="1" applyProtection="1">
      <alignment vertical="top"/>
      <protection locked="0"/>
    </xf>
    <xf numFmtId="0" fontId="0" fillId="0" borderId="29" xfId="0" applyBorder="1" applyAlignment="1">
      <alignment/>
    </xf>
    <xf numFmtId="10" fontId="21" fillId="43" borderId="15" xfId="0" applyNumberFormat="1" applyFont="1" applyFill="1" applyBorder="1" applyAlignment="1" applyProtection="1">
      <alignment vertical="top"/>
      <protection locked="0"/>
    </xf>
    <xf numFmtId="10" fontId="21" fillId="43" borderId="18" xfId="0" applyNumberFormat="1" applyFont="1" applyFill="1" applyBorder="1" applyAlignment="1" applyProtection="1">
      <alignment vertical="top"/>
      <protection locked="0"/>
    </xf>
    <xf numFmtId="0" fontId="2" fillId="0" borderId="22" xfId="0" applyFont="1" applyFill="1" applyBorder="1" applyAlignment="1" applyProtection="1">
      <alignment vertical="top"/>
      <protection locked="0"/>
    </xf>
    <xf numFmtId="0" fontId="2" fillId="0" borderId="27" xfId="0" applyFont="1" applyFill="1" applyBorder="1" applyAlignment="1" applyProtection="1">
      <alignment vertical="top"/>
      <protection locked="0"/>
    </xf>
    <xf numFmtId="0" fontId="0" fillId="0" borderId="26" xfId="0" applyBorder="1" applyAlignment="1">
      <alignment/>
    </xf>
    <xf numFmtId="0" fontId="17" fillId="0" borderId="17" xfId="0" applyFont="1" applyFill="1" applyBorder="1" applyAlignment="1" applyProtection="1">
      <alignment vertical="top"/>
      <protection locked="0"/>
    </xf>
    <xf numFmtId="10" fontId="21" fillId="44" borderId="15" xfId="0" applyNumberFormat="1" applyFont="1" applyFill="1" applyBorder="1" applyAlignment="1" applyProtection="1">
      <alignment vertical="top"/>
      <protection locked="0"/>
    </xf>
    <xf numFmtId="10" fontId="21" fillId="44" borderId="18" xfId="0" applyNumberFormat="1" applyFont="1" applyFill="1" applyBorder="1" applyAlignment="1" applyProtection="1">
      <alignment vertical="top"/>
      <protection locked="0"/>
    </xf>
    <xf numFmtId="3" fontId="9" fillId="40" borderId="30" xfId="0" applyNumberFormat="1" applyFont="1" applyFill="1" applyBorder="1" applyAlignment="1" applyProtection="1" quotePrefix="1">
      <alignment horizontal="center" vertical="center"/>
      <protection locked="0"/>
    </xf>
    <xf numFmtId="10" fontId="1" fillId="0" borderId="0" xfId="0" applyNumberFormat="1" applyFont="1" applyFill="1" applyBorder="1" applyAlignment="1" applyProtection="1" quotePrefix="1">
      <alignment horizontal="center" vertical="center"/>
      <protection locked="0"/>
    </xf>
    <xf numFmtId="3" fontId="1" fillId="40" borderId="30" xfId="0" applyNumberFormat="1" applyFont="1" applyFill="1" applyBorder="1" applyAlignment="1" applyProtection="1" quotePrefix="1">
      <alignment horizontal="center" vertical="center"/>
      <protection locked="0"/>
    </xf>
    <xf numFmtId="10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6" fillId="43" borderId="28" xfId="0" applyFont="1" applyFill="1" applyBorder="1" applyAlignment="1">
      <alignment vertical="center"/>
    </xf>
    <xf numFmtId="0" fontId="21" fillId="43" borderId="31" xfId="0" applyFont="1" applyFill="1" applyBorder="1" applyAlignment="1">
      <alignment vertical="center"/>
    </xf>
    <xf numFmtId="0" fontId="16" fillId="41" borderId="28" xfId="0" applyFont="1" applyFill="1" applyBorder="1" applyAlignment="1">
      <alignment vertical="center"/>
    </xf>
    <xf numFmtId="0" fontId="21" fillId="41" borderId="31" xfId="0" applyFont="1" applyFill="1" applyBorder="1" applyAlignment="1">
      <alignment vertical="center"/>
    </xf>
    <xf numFmtId="0" fontId="16" fillId="44" borderId="24" xfId="0" applyFont="1" applyFill="1" applyBorder="1" applyAlignment="1">
      <alignment vertical="center"/>
    </xf>
    <xf numFmtId="0" fontId="21" fillId="44" borderId="31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3" fontId="9" fillId="40" borderId="30" xfId="0" applyNumberFormat="1" applyFont="1" applyFill="1" applyBorder="1" applyAlignment="1" applyProtection="1" quotePrefix="1">
      <alignment vertical="center"/>
      <protection locked="0"/>
    </xf>
    <xf numFmtId="3" fontId="9" fillId="40" borderId="32" xfId="0" applyNumberFormat="1" applyFont="1" applyFill="1" applyBorder="1" applyAlignment="1" applyProtection="1" quotePrefix="1">
      <alignment vertical="center"/>
      <protection locked="0"/>
    </xf>
    <xf numFmtId="10" fontId="2" fillId="0" borderId="32" xfId="0" applyNumberFormat="1" applyFont="1" applyFill="1" applyBorder="1" applyAlignment="1" applyProtection="1" quotePrefix="1">
      <alignment horizontal="center" vertical="center" wrapText="1"/>
      <protection locked="0"/>
    </xf>
    <xf numFmtId="3" fontId="1" fillId="40" borderId="30" xfId="0" applyNumberFormat="1" applyFont="1" applyFill="1" applyBorder="1" applyAlignment="1" applyProtection="1" quotePrefix="1">
      <alignment vertical="center"/>
      <protection locked="0"/>
    </xf>
    <xf numFmtId="3" fontId="1" fillId="40" borderId="33" xfId="0" applyNumberFormat="1" applyFont="1" applyFill="1" applyBorder="1" applyAlignment="1" applyProtection="1" quotePrefix="1">
      <alignment vertical="center"/>
      <protection locked="0"/>
    </xf>
    <xf numFmtId="0" fontId="1" fillId="0" borderId="22" xfId="0" applyFont="1" applyFill="1" applyBorder="1" applyAlignment="1" applyProtection="1">
      <alignment vertical="top"/>
      <protection locked="0"/>
    </xf>
    <xf numFmtId="10" fontId="21" fillId="43" borderId="34" xfId="0" applyNumberFormat="1" applyFont="1" applyFill="1" applyBorder="1" applyAlignment="1" applyProtection="1">
      <alignment vertical="top"/>
      <protection locked="0"/>
    </xf>
    <xf numFmtId="0" fontId="2" fillId="0" borderId="35" xfId="0" applyFont="1" applyFill="1" applyBorder="1" applyAlignment="1" applyProtection="1">
      <alignment vertical="top"/>
      <protection locked="0"/>
    </xf>
    <xf numFmtId="10" fontId="21" fillId="41" borderId="34" xfId="0" applyNumberFormat="1" applyFont="1" applyFill="1" applyBorder="1" applyAlignment="1" applyProtection="1">
      <alignment vertical="top"/>
      <protection locked="0"/>
    </xf>
    <xf numFmtId="10" fontId="21" fillId="41" borderId="15" xfId="0" applyNumberFormat="1" applyFont="1" applyFill="1" applyBorder="1" applyAlignment="1" applyProtection="1">
      <alignment vertical="top"/>
      <protection locked="0"/>
    </xf>
    <xf numFmtId="0" fontId="1" fillId="0" borderId="35" xfId="0" applyFont="1" applyFill="1" applyBorder="1" applyAlignment="1" applyProtection="1">
      <alignment vertical="top"/>
      <protection locked="0"/>
    </xf>
    <xf numFmtId="10" fontId="1" fillId="0" borderId="36" xfId="0" applyNumberFormat="1" applyFont="1" applyFill="1" applyBorder="1" applyAlignment="1" applyProtection="1">
      <alignment vertical="top"/>
      <protection locked="0"/>
    </xf>
    <xf numFmtId="10" fontId="2" fillId="35" borderId="36" xfId="0" applyNumberFormat="1" applyFont="1" applyFill="1" applyBorder="1" applyAlignment="1" applyProtection="1">
      <alignment vertical="top"/>
      <protection locked="0"/>
    </xf>
    <xf numFmtId="10" fontId="2" fillId="39" borderId="36" xfId="0" applyNumberFormat="1" applyFont="1" applyFill="1" applyBorder="1" applyAlignment="1" applyProtection="1">
      <alignment vertical="top"/>
      <protection locked="0"/>
    </xf>
    <xf numFmtId="10" fontId="2" fillId="38" borderId="36" xfId="0" applyNumberFormat="1" applyFont="1" applyFill="1" applyBorder="1" applyAlignment="1" applyProtection="1">
      <alignment vertical="top"/>
      <protection locked="0"/>
    </xf>
    <xf numFmtId="10" fontId="2" fillId="42" borderId="37" xfId="0" applyNumberFormat="1" applyFont="1" applyFill="1" applyBorder="1" applyAlignment="1" applyProtection="1">
      <alignment vertical="top"/>
      <protection locked="0"/>
    </xf>
    <xf numFmtId="10" fontId="2" fillId="40" borderId="36" xfId="0" applyNumberFormat="1" applyFont="1" applyFill="1" applyBorder="1" applyAlignment="1" applyProtection="1">
      <alignment vertical="top"/>
      <protection locked="0"/>
    </xf>
    <xf numFmtId="10" fontId="1" fillId="35" borderId="36" xfId="0" applyNumberFormat="1" applyFont="1" applyFill="1" applyBorder="1" applyAlignment="1" applyProtection="1">
      <alignment vertical="top"/>
      <protection locked="0"/>
    </xf>
    <xf numFmtId="0" fontId="1" fillId="0" borderId="38" xfId="0" applyFont="1" applyFill="1" applyBorder="1" applyAlignment="1" applyProtection="1">
      <alignment vertical="top"/>
      <protection locked="0"/>
    </xf>
    <xf numFmtId="0" fontId="1" fillId="36" borderId="13" xfId="0" applyFont="1" applyFill="1" applyBorder="1" applyAlignment="1" applyProtection="1">
      <alignment vertical="top"/>
      <protection locked="0"/>
    </xf>
    <xf numFmtId="3" fontId="1" fillId="0" borderId="13" xfId="0" applyNumberFormat="1" applyFont="1" applyFill="1" applyBorder="1" applyAlignment="1" applyProtection="1">
      <alignment vertical="top"/>
      <protection locked="0"/>
    </xf>
    <xf numFmtId="3" fontId="1" fillId="0" borderId="39" xfId="0" applyNumberFormat="1" applyFont="1" applyFill="1" applyBorder="1" applyAlignment="1" applyProtection="1">
      <alignment vertical="top"/>
      <protection locked="0"/>
    </xf>
    <xf numFmtId="3" fontId="1" fillId="33" borderId="13" xfId="0" applyNumberFormat="1" applyFont="1" applyFill="1" applyBorder="1" applyAlignment="1" applyProtection="1">
      <alignment vertical="top"/>
      <protection locked="0"/>
    </xf>
    <xf numFmtId="3" fontId="2" fillId="33" borderId="39" xfId="0" applyNumberFormat="1" applyFont="1" applyFill="1" applyBorder="1" applyAlignment="1" applyProtection="1">
      <alignment vertical="top"/>
      <protection locked="0"/>
    </xf>
    <xf numFmtId="10" fontId="1" fillId="0" borderId="13" xfId="0" applyNumberFormat="1" applyFont="1" applyFill="1" applyBorder="1" applyAlignment="1" applyProtection="1">
      <alignment vertical="top"/>
      <protection locked="0"/>
    </xf>
    <xf numFmtId="0" fontId="1" fillId="0" borderId="39" xfId="0" applyFont="1" applyFill="1" applyBorder="1" applyAlignment="1" applyProtection="1">
      <alignment vertical="top"/>
      <protection locked="0"/>
    </xf>
    <xf numFmtId="0" fontId="1" fillId="0" borderId="13" xfId="0" applyFont="1" applyFill="1" applyBorder="1" applyAlignment="1" applyProtection="1">
      <alignment vertical="top"/>
      <protection locked="0"/>
    </xf>
    <xf numFmtId="0" fontId="1" fillId="33" borderId="13" xfId="0" applyFont="1" applyFill="1" applyBorder="1" applyAlignment="1" applyProtection="1">
      <alignment vertical="top"/>
      <protection locked="0"/>
    </xf>
    <xf numFmtId="0" fontId="2" fillId="33" borderId="13" xfId="0" applyFont="1" applyFill="1" applyBorder="1" applyAlignment="1" applyProtection="1">
      <alignment vertical="top"/>
      <protection locked="0"/>
    </xf>
    <xf numFmtId="10" fontId="1" fillId="0" borderId="21" xfId="0" applyNumberFormat="1" applyFont="1" applyFill="1" applyBorder="1" applyAlignment="1" applyProtection="1">
      <alignment vertical="top"/>
      <protection locked="0"/>
    </xf>
    <xf numFmtId="3" fontId="2" fillId="36" borderId="15" xfId="0" applyNumberFormat="1" applyFont="1" applyFill="1" applyBorder="1" applyAlignment="1" applyProtection="1">
      <alignment vertical="top"/>
      <protection locked="0"/>
    </xf>
    <xf numFmtId="3" fontId="2" fillId="36" borderId="16" xfId="0" applyNumberFormat="1" applyFont="1" applyFill="1" applyBorder="1" applyAlignment="1" applyProtection="1">
      <alignment vertical="top"/>
      <protection locked="0"/>
    </xf>
    <xf numFmtId="10" fontId="2" fillId="36" borderId="15" xfId="0" applyNumberFormat="1" applyFont="1" applyFill="1" applyBorder="1" applyAlignment="1" applyProtection="1">
      <alignment vertical="top"/>
      <protection locked="0"/>
    </xf>
    <xf numFmtId="10" fontId="2" fillId="36" borderId="18" xfId="0" applyNumberFormat="1" applyFont="1" applyFill="1" applyBorder="1" applyAlignment="1" applyProtection="1">
      <alignment vertical="top"/>
      <protection locked="0"/>
    </xf>
    <xf numFmtId="10" fontId="2" fillId="0" borderId="17" xfId="0" applyNumberFormat="1" applyFont="1" applyFill="1" applyBorder="1" applyAlignment="1" applyProtection="1">
      <alignment vertical="top"/>
      <protection locked="0"/>
    </xf>
    <xf numFmtId="10" fontId="2" fillId="36" borderId="34" xfId="0" applyNumberFormat="1" applyFont="1" applyFill="1" applyBorder="1" applyAlignment="1" applyProtection="1">
      <alignment vertical="top"/>
      <protection locked="0"/>
    </xf>
    <xf numFmtId="0" fontId="2" fillId="33" borderId="39" xfId="0" applyFont="1" applyFill="1" applyBorder="1" applyAlignment="1" applyProtection="1">
      <alignment vertical="top"/>
      <protection locked="0"/>
    </xf>
    <xf numFmtId="0" fontId="0" fillId="0" borderId="27" xfId="0" applyBorder="1" applyAlignment="1">
      <alignment/>
    </xf>
    <xf numFmtId="10" fontId="21" fillId="44" borderId="34" xfId="0" applyNumberFormat="1" applyFont="1" applyFill="1" applyBorder="1" applyAlignment="1" applyProtection="1">
      <alignment vertical="top"/>
      <protection locked="0"/>
    </xf>
    <xf numFmtId="0" fontId="16" fillId="44" borderId="40" xfId="0" applyFont="1" applyFill="1" applyBorder="1" applyAlignment="1">
      <alignment vertical="center"/>
    </xf>
    <xf numFmtId="0" fontId="16" fillId="41" borderId="40" xfId="0" applyFont="1" applyFill="1" applyBorder="1" applyAlignment="1">
      <alignment vertical="center"/>
    </xf>
    <xf numFmtId="0" fontId="16" fillId="43" borderId="40" xfId="0" applyFont="1" applyFill="1" applyBorder="1" applyAlignment="1">
      <alignment vertical="center"/>
    </xf>
    <xf numFmtId="0" fontId="2" fillId="0" borderId="33" xfId="0" applyFont="1" applyFill="1" applyBorder="1" applyAlignment="1" applyProtection="1" quotePrefix="1">
      <alignment horizontal="center" vertical="top" wrapText="1"/>
      <protection locked="0"/>
    </xf>
    <xf numFmtId="3" fontId="1" fillId="40" borderId="41" xfId="0" applyNumberFormat="1" applyFont="1" applyFill="1" applyBorder="1" applyAlignment="1" applyProtection="1" quotePrefix="1">
      <alignment horizontal="center" vertical="center"/>
      <protection locked="0"/>
    </xf>
    <xf numFmtId="10" fontId="2" fillId="0" borderId="41" xfId="0" applyNumberFormat="1" applyFont="1" applyFill="1" applyBorder="1" applyAlignment="1" applyProtection="1" quotePrefix="1">
      <alignment horizontal="center" vertical="top" wrapText="1"/>
      <protection locked="0"/>
    </xf>
    <xf numFmtId="3" fontId="9" fillId="40" borderId="42" xfId="0" applyNumberFormat="1" applyFont="1" applyFill="1" applyBorder="1" applyAlignment="1" applyProtection="1" quotePrefix="1">
      <alignment horizontal="center" vertical="center"/>
      <protection locked="0"/>
    </xf>
    <xf numFmtId="3" fontId="9" fillId="40" borderId="41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43" xfId="0" applyNumberFormat="1" applyFont="1" applyFill="1" applyBorder="1" applyAlignment="1" applyProtection="1">
      <alignment horizontal="center" vertical="center"/>
      <protection locked="0"/>
    </xf>
    <xf numFmtId="0" fontId="16" fillId="43" borderId="30" xfId="0" applyFont="1" applyFill="1" applyBorder="1" applyAlignment="1">
      <alignment horizontal="center" vertical="center"/>
    </xf>
    <xf numFmtId="1" fontId="23" fillId="0" borderId="41" xfId="0" applyNumberFormat="1" applyFont="1" applyFill="1" applyBorder="1" applyAlignment="1" applyProtection="1" quotePrefix="1">
      <alignment horizontal="center" vertical="center"/>
      <protection locked="0"/>
    </xf>
    <xf numFmtId="10" fontId="2" fillId="0" borderId="33" xfId="0" applyNumberFormat="1" applyFont="1" applyFill="1" applyBorder="1" applyAlignment="1" applyProtection="1" quotePrefix="1">
      <alignment horizontal="center" vertical="top" wrapText="1"/>
      <protection locked="0"/>
    </xf>
    <xf numFmtId="0" fontId="24" fillId="45" borderId="44" xfId="0" applyFont="1" applyFill="1" applyBorder="1" applyAlignment="1" applyProtection="1">
      <alignment horizontal="center" vertical="center"/>
      <protection locked="0"/>
    </xf>
    <xf numFmtId="10" fontId="2" fillId="0" borderId="45" xfId="0" applyNumberFormat="1" applyFont="1" applyFill="1" applyBorder="1" applyAlignment="1" applyProtection="1">
      <alignment horizontal="center" vertical="center"/>
      <protection locked="0"/>
    </xf>
    <xf numFmtId="0" fontId="25" fillId="45" borderId="19" xfId="0" applyFont="1" applyFill="1" applyBorder="1" applyAlignment="1" applyProtection="1">
      <alignment horizontal="center" vertical="center"/>
      <protection locked="0"/>
    </xf>
    <xf numFmtId="10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45" borderId="19" xfId="0" applyFont="1" applyFill="1" applyBorder="1" applyAlignment="1" applyProtection="1">
      <alignment horizontal="center" vertical="center"/>
      <protection locked="0"/>
    </xf>
    <xf numFmtId="0" fontId="27" fillId="45" borderId="19" xfId="0" applyFont="1" applyFill="1" applyBorder="1" applyAlignment="1" applyProtection="1">
      <alignment horizontal="center" vertical="center"/>
      <protection locked="0"/>
    </xf>
    <xf numFmtId="0" fontId="28" fillId="45" borderId="19" xfId="0" applyFont="1" applyFill="1" applyBorder="1" applyAlignment="1" applyProtection="1">
      <alignment horizontal="center" vertical="center"/>
      <protection locked="0"/>
    </xf>
    <xf numFmtId="0" fontId="16" fillId="43" borderId="31" xfId="0" applyFont="1" applyFill="1" applyBorder="1" applyAlignment="1">
      <alignment horizontal="center" vertical="center"/>
    </xf>
    <xf numFmtId="3" fontId="17" fillId="0" borderId="35" xfId="0" applyNumberFormat="1" applyFont="1" applyFill="1" applyBorder="1" applyAlignment="1" applyProtection="1">
      <alignment horizontal="center" vertical="center"/>
      <protection locked="0"/>
    </xf>
    <xf numFmtId="10" fontId="21" fillId="43" borderId="46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1" fontId="2" fillId="36" borderId="15" xfId="55" applyNumberFormat="1" applyFont="1" applyFill="1" applyBorder="1" applyAlignment="1" applyProtection="1">
      <alignment vertical="top"/>
      <protection locked="0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0" fontId="2" fillId="0" borderId="11" xfId="0" applyFont="1" applyFill="1" applyBorder="1" applyAlignment="1" applyProtection="1">
      <alignment vertical="top"/>
      <protection locked="0"/>
    </xf>
    <xf numFmtId="0" fontId="2" fillId="40" borderId="47" xfId="0" applyFont="1" applyFill="1" applyBorder="1" applyAlignment="1" applyProtection="1">
      <alignment horizontal="center" vertical="top"/>
      <protection locked="0"/>
    </xf>
    <xf numFmtId="0" fontId="2" fillId="40" borderId="48" xfId="0" applyFont="1" applyFill="1" applyBorder="1" applyAlignment="1" applyProtection="1">
      <alignment horizontal="center" vertical="top"/>
      <protection locked="0"/>
    </xf>
    <xf numFmtId="0" fontId="2" fillId="42" borderId="49" xfId="0" applyFont="1" applyFill="1" applyBorder="1" applyAlignment="1" applyProtection="1">
      <alignment horizontal="center" vertical="top"/>
      <protection locked="0"/>
    </xf>
    <xf numFmtId="0" fontId="2" fillId="42" borderId="12" xfId="0" applyFont="1" applyFill="1" applyBorder="1" applyAlignment="1" applyProtection="1">
      <alignment horizontal="center" vertical="top"/>
      <protection locked="0"/>
    </xf>
    <xf numFmtId="0" fontId="13" fillId="0" borderId="28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2" fillId="36" borderId="47" xfId="0" applyFont="1" applyFill="1" applyBorder="1" applyAlignment="1" applyProtection="1">
      <alignment horizontal="center" vertical="top"/>
      <protection locked="0"/>
    </xf>
    <xf numFmtId="0" fontId="2" fillId="36" borderId="52" xfId="0" applyFont="1" applyFill="1" applyBorder="1" applyAlignment="1" applyProtection="1">
      <alignment horizontal="center" vertical="top"/>
      <protection locked="0"/>
    </xf>
    <xf numFmtId="0" fontId="2" fillId="35" borderId="47" xfId="0" applyFont="1" applyFill="1" applyBorder="1" applyAlignment="1" applyProtection="1">
      <alignment horizontal="center" vertical="top"/>
      <protection locked="0"/>
    </xf>
    <xf numFmtId="0" fontId="2" fillId="35" borderId="52" xfId="0" applyFont="1" applyFill="1" applyBorder="1" applyAlignment="1" applyProtection="1">
      <alignment horizontal="center" vertical="top"/>
      <protection locked="0"/>
    </xf>
    <xf numFmtId="0" fontId="2" fillId="39" borderId="47" xfId="0" applyFont="1" applyFill="1" applyBorder="1" applyAlignment="1" applyProtection="1">
      <alignment horizontal="center" vertical="top"/>
      <protection locked="0"/>
    </xf>
    <xf numFmtId="0" fontId="2" fillId="39" borderId="52" xfId="0" applyFont="1" applyFill="1" applyBorder="1" applyAlignment="1" applyProtection="1">
      <alignment horizontal="center" vertical="top"/>
      <protection locked="0"/>
    </xf>
    <xf numFmtId="0" fontId="2" fillId="38" borderId="47" xfId="0" applyFont="1" applyFill="1" applyBorder="1" applyAlignment="1" applyProtection="1">
      <alignment horizontal="center" vertical="top"/>
      <protection locked="0"/>
    </xf>
    <xf numFmtId="0" fontId="2" fillId="38" borderId="48" xfId="0" applyFont="1" applyFill="1" applyBorder="1" applyAlignment="1" applyProtection="1">
      <alignment horizontal="center" vertical="top"/>
      <protection locked="0"/>
    </xf>
    <xf numFmtId="0" fontId="2" fillId="38" borderId="52" xfId="0" applyFont="1" applyFill="1" applyBorder="1" applyAlignment="1" applyProtection="1">
      <alignment horizontal="center" vertical="top"/>
      <protection locked="0"/>
    </xf>
    <xf numFmtId="0" fontId="2" fillId="40" borderId="52" xfId="0" applyFont="1" applyFill="1" applyBorder="1" applyAlignment="1" applyProtection="1">
      <alignment horizontal="center" vertical="top"/>
      <protection locked="0"/>
    </xf>
    <xf numFmtId="0" fontId="2" fillId="42" borderId="53" xfId="0" applyFont="1" applyFill="1" applyBorder="1" applyAlignment="1" applyProtection="1">
      <alignment horizontal="center" vertical="top"/>
      <protection locked="0"/>
    </xf>
    <xf numFmtId="0" fontId="2" fillId="36" borderId="40" xfId="0" applyFont="1" applyFill="1" applyBorder="1" applyAlignment="1" applyProtection="1">
      <alignment horizontal="center" vertical="top"/>
      <protection locked="0"/>
    </xf>
    <xf numFmtId="0" fontId="2" fillId="36" borderId="54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TOTAAL AANTAL STUDENTEN BACHELOR VERPLEEGKUNDE PER PROVINCIE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4"/>
          <c:w val="0.980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'Per provincie'!$A$4:$B$4</c:f>
              <c:strCache>
                <c:ptCount val="1"/>
                <c:pt idx="0">
                  <c:v>Artesis Antwerpen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'Per provincie'!$C$2:$I$3</c:f>
              <c:multiLvlStrCache/>
            </c:multiLvlStrRef>
          </c:cat>
          <c:val>
            <c:numRef>
              <c:f>'Per provincie'!$C$4:$I$4</c:f>
            </c:numRef>
          </c:val>
          <c:smooth val="0"/>
        </c:ser>
        <c:ser>
          <c:idx val="1"/>
          <c:order val="1"/>
          <c:tx>
            <c:strRef>
              <c:f>'Per provincie'!$A$5:$B$5</c:f>
              <c:strCache>
                <c:ptCount val="1"/>
                <c:pt idx="0">
                  <c:v>Artesis Mechelen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'Per provincie'!$C$2:$I$3</c:f>
              <c:multiLvlStrCache/>
            </c:multiLvlStrRef>
          </c:cat>
          <c:val>
            <c:numRef>
              <c:f>'Per provincie'!$C$5:$I$5</c:f>
            </c:numRef>
          </c:val>
          <c:smooth val="0"/>
        </c:ser>
        <c:ser>
          <c:idx val="2"/>
          <c:order val="2"/>
          <c:tx>
            <c:strRef>
              <c:f>'Per provincie'!$A$6:$B$6</c:f>
              <c:strCache>
                <c:ptCount val="1"/>
                <c:pt idx="0">
                  <c:v>KdG Antwerpen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multiLvlStrRef>
              <c:f>'Per provincie'!$C$2:$I$3</c:f>
              <c:multiLvlStrCache/>
            </c:multiLvlStrRef>
          </c:cat>
          <c:val>
            <c:numRef>
              <c:f>'Per provincie'!$C$6:$I$6</c:f>
            </c:numRef>
          </c:val>
          <c:smooth val="0"/>
        </c:ser>
        <c:ser>
          <c:idx val="3"/>
          <c:order val="3"/>
          <c:tx>
            <c:strRef>
              <c:f>'Per provincie'!$A$7:$B$7</c:f>
              <c:strCache>
                <c:ptCount val="1"/>
                <c:pt idx="0">
                  <c:v>Lessius Mechelen (KHM) Mechelen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'Per provincie'!$C$2:$I$3</c:f>
              <c:multiLvlStrCache/>
            </c:multiLvlStrRef>
          </c:cat>
          <c:val>
            <c:numRef>
              <c:f>'Per provincie'!$C$7:$I$7</c:f>
            </c:numRef>
          </c:val>
          <c:smooth val="0"/>
        </c:ser>
        <c:ser>
          <c:idx val="4"/>
          <c:order val="4"/>
          <c:tx>
            <c:strRef>
              <c:f>'Per provincie'!$A$8:$B$8</c:f>
              <c:strCache>
                <c:ptCount val="1"/>
                <c:pt idx="0">
                  <c:v>K.H.Kempen Lier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multiLvlStrRef>
              <c:f>'Per provincie'!$C$2:$I$3</c:f>
              <c:multiLvlStrCache/>
            </c:multiLvlStrRef>
          </c:cat>
          <c:val>
            <c:numRef>
              <c:f>'Per provincie'!$C$8:$I$8</c:f>
            </c:numRef>
          </c:val>
          <c:smooth val="0"/>
        </c:ser>
        <c:ser>
          <c:idx val="5"/>
          <c:order val="5"/>
          <c:tx>
            <c:strRef>
              <c:f>'Per provincie'!$A$9:$B$9</c:f>
              <c:strCache>
                <c:ptCount val="1"/>
                <c:pt idx="0">
                  <c:v>K.H.Kempen Turnhout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multiLvlStrRef>
              <c:f>'Per provincie'!$C$2:$I$3</c:f>
              <c:multiLvlStrCache/>
            </c:multiLvlStrRef>
          </c:cat>
          <c:val>
            <c:numRef>
              <c:f>'Per provincie'!$C$9:$I$9</c:f>
            </c:numRef>
          </c:val>
          <c:smooth val="0"/>
        </c:ser>
        <c:ser>
          <c:idx val="6"/>
          <c:order val="6"/>
          <c:tx>
            <c:strRef>
              <c:f>'Per provincie'!$A$10:$B$10</c:f>
              <c:strCache>
                <c:ptCount val="1"/>
                <c:pt idx="0">
                  <c:v>ANTWERPEN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'Per provincie'!$C$2:$I$3</c:f>
              <c:multiLvlStrCache/>
            </c:multiLvlStrRef>
          </c:cat>
          <c:val>
            <c:numRef>
              <c:f>'Per provincie'!$C$10:$I$10</c:f>
              <c:numCache/>
            </c:numRef>
          </c:val>
          <c:smooth val="0"/>
        </c:ser>
        <c:ser>
          <c:idx val="12"/>
          <c:order val="7"/>
          <c:tx>
            <c:strRef>
              <c:f>'Per provincie'!$A$11:$B$11</c:f>
              <c:strCache>
                <c:ptCount val="1"/>
                <c:pt idx="0">
                  <c:v>KaHo Sint-Lieven Sint-Niklaas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'Per provincie'!$C$2:$I$3</c:f>
              <c:multiLvlStrCache/>
            </c:multiLvlStrRef>
          </c:cat>
          <c:val>
            <c:numRef>
              <c:f>'Per provincie'!$C$11:$I$11</c:f>
            </c:numRef>
          </c:val>
          <c:smooth val="0"/>
        </c:ser>
        <c:ser>
          <c:idx val="13"/>
          <c:order val="8"/>
          <c:tx>
            <c:strRef>
              <c:f>'Per provincie'!$A$12:$B$12</c:f>
              <c:strCache>
                <c:ptCount val="1"/>
                <c:pt idx="0">
                  <c:v>Ahs Gent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'Per provincie'!$C$2:$I$3</c:f>
              <c:multiLvlStrCache/>
            </c:multiLvlStrRef>
          </c:cat>
          <c:val>
            <c:numRef>
              <c:f>'Per provincie'!$C$12:$I$12</c:f>
            </c:numRef>
          </c:val>
          <c:smooth val="0"/>
        </c:ser>
        <c:ser>
          <c:idx val="14"/>
          <c:order val="9"/>
          <c:tx>
            <c:strRef>
              <c:f>'Per provincie'!$A$13:$B$13</c:f>
              <c:strCache>
                <c:ptCount val="1"/>
                <c:pt idx="0">
                  <c:v>HoGent Gent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'Per provincie'!$C$2:$I$3</c:f>
              <c:multiLvlStrCache/>
            </c:multiLvlStrRef>
          </c:cat>
          <c:val>
            <c:numRef>
              <c:f>'Per provincie'!$C$13:$I$13</c:f>
            </c:numRef>
          </c:val>
          <c:smooth val="0"/>
        </c:ser>
        <c:ser>
          <c:idx val="15"/>
          <c:order val="10"/>
          <c:tx>
            <c:strRef>
              <c:f>'Per provincie'!$A$14:$B$14</c:f>
              <c:strCache>
                <c:ptCount val="1"/>
                <c:pt idx="0">
                  <c:v>KaHo Sint-Lieven Aalst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'Per provincie'!$C$2:$I$3</c:f>
              <c:multiLvlStrCache/>
            </c:multiLvlStrRef>
          </c:cat>
          <c:val>
            <c:numRef>
              <c:f>'Per provincie'!$C$14:$I$14</c:f>
            </c:numRef>
          </c:val>
          <c:smooth val="0"/>
        </c:ser>
        <c:ser>
          <c:idx val="7"/>
          <c:order val="11"/>
          <c:tx>
            <c:strRef>
              <c:f>'Per provincie'!$A$15:$B$15</c:f>
              <c:strCache>
                <c:ptCount val="1"/>
                <c:pt idx="0">
                  <c:v>OOST-VLAANDEREN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'Per provincie'!$C$2:$I$3</c:f>
              <c:multiLvlStrCache/>
            </c:multiLvlStrRef>
          </c:cat>
          <c:val>
            <c:numRef>
              <c:f>'Per provincie'!$C$15:$I$15</c:f>
              <c:numCache/>
            </c:numRef>
          </c:val>
          <c:smooth val="0"/>
        </c:ser>
        <c:ser>
          <c:idx val="16"/>
          <c:order val="12"/>
          <c:tx>
            <c:strRef>
              <c:f>'Per provincie'!$A$16:$B$16</c:f>
              <c:strCache>
                <c:ptCount val="1"/>
                <c:pt idx="0">
                  <c:v>KATHO Kortrijk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multiLvlStrRef>
              <c:f>'Per provincie'!$C$2:$I$3</c:f>
              <c:multiLvlStrCache/>
            </c:multiLvlStrRef>
          </c:cat>
          <c:val>
            <c:numRef>
              <c:f>'Per provincie'!$C$16:$I$16</c:f>
            </c:numRef>
          </c:val>
          <c:smooth val="0"/>
        </c:ser>
        <c:ser>
          <c:idx val="17"/>
          <c:order val="13"/>
          <c:tx>
            <c:strRef>
              <c:f>'Per provincie'!$A$17:$B$17</c:f>
              <c:strCache>
                <c:ptCount val="1"/>
                <c:pt idx="0">
                  <c:v>KATHO Roeselare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multiLvlStrRef>
              <c:f>'Per provincie'!$C$2:$I$3</c:f>
              <c:multiLvlStrCache/>
            </c:multiLvlStrRef>
          </c:cat>
          <c:val>
            <c:numRef>
              <c:f>'Per provincie'!$C$17:$I$17</c:f>
            </c:numRef>
          </c:val>
          <c:smooth val="0"/>
        </c:ser>
        <c:ser>
          <c:idx val="18"/>
          <c:order val="14"/>
          <c:tx>
            <c:strRef>
              <c:f>'Per provincie'!$A$18:$B$18</c:f>
              <c:strCache>
                <c:ptCount val="1"/>
                <c:pt idx="0">
                  <c:v>KHBO  Brugge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multiLvlStrRef>
              <c:f>'Per provincie'!$C$2:$I$3</c:f>
              <c:multiLvlStrCache/>
            </c:multiLvlStrRef>
          </c:cat>
          <c:val>
            <c:numRef>
              <c:f>'Per provincie'!$C$18:$I$18</c:f>
            </c:numRef>
          </c:val>
          <c:smooth val="0"/>
        </c:ser>
        <c:ser>
          <c:idx val="19"/>
          <c:order val="15"/>
          <c:tx>
            <c:strRef>
              <c:f>'Per provincie'!$A$19:$B$19</c:f>
              <c:strCache>
                <c:ptCount val="1"/>
                <c:pt idx="0">
                  <c:v>HOWEST Oostende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multiLvlStrRef>
              <c:f>'Per provincie'!$C$2:$I$3</c:f>
              <c:multiLvlStrCache/>
            </c:multiLvlStrRef>
          </c:cat>
          <c:val>
            <c:numRef>
              <c:f>'Per provincie'!$C$19:$I$19</c:f>
            </c:numRef>
          </c:val>
          <c:smooth val="0"/>
        </c:ser>
        <c:ser>
          <c:idx val="8"/>
          <c:order val="16"/>
          <c:tx>
            <c:strRef>
              <c:f>'Per provincie'!$A$20:$B$20</c:f>
              <c:strCache>
                <c:ptCount val="1"/>
                <c:pt idx="0">
                  <c:v>WEST-VLAANDEREN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'Per provincie'!$C$2:$I$3</c:f>
              <c:multiLvlStrCache/>
            </c:multiLvlStrRef>
          </c:cat>
          <c:val>
            <c:numRef>
              <c:f>'Per provincie'!$C$20:$I$20</c:f>
              <c:numCache/>
            </c:numRef>
          </c:val>
          <c:smooth val="0"/>
        </c:ser>
        <c:ser>
          <c:idx val="20"/>
          <c:order val="17"/>
          <c:tx>
            <c:strRef>
              <c:f>'Per provincie'!$A$21:$B$21</c:f>
              <c:strCache>
                <c:ptCount val="1"/>
                <c:pt idx="0">
                  <c:v>KHLim Hasselt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multiLvlStrRef>
              <c:f>'Per provincie'!$C$2:$I$3</c:f>
              <c:multiLvlStrCache/>
            </c:multiLvlStrRef>
          </c:cat>
          <c:val>
            <c:numRef>
              <c:f>'Per provincie'!$C$21:$I$21</c:f>
            </c:numRef>
          </c:val>
          <c:smooth val="0"/>
        </c:ser>
        <c:ser>
          <c:idx val="21"/>
          <c:order val="18"/>
          <c:tx>
            <c:strRef>
              <c:f>'Per provincie'!$A$22:$B$22</c:f>
              <c:strCache>
                <c:ptCount val="1"/>
                <c:pt idx="0">
                  <c:v>PHL Hasselt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cat>
            <c:multiLvlStrRef>
              <c:f>'Per provincie'!$C$2:$I$3</c:f>
              <c:multiLvlStrCache/>
            </c:multiLvlStrRef>
          </c:cat>
          <c:val>
            <c:numRef>
              <c:f>'Per provincie'!$C$22:$I$22</c:f>
            </c:numRef>
          </c:val>
          <c:smooth val="0"/>
        </c:ser>
        <c:ser>
          <c:idx val="9"/>
          <c:order val="19"/>
          <c:tx>
            <c:strRef>
              <c:f>'Per provincie'!$A$23:$B$23</c:f>
              <c:strCache>
                <c:ptCount val="1"/>
                <c:pt idx="0">
                  <c:v>LIMBURG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96969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96969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96969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96969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96969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96969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96969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69696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'Per provincie'!$C$2:$I$3</c:f>
              <c:multiLvlStrCache/>
            </c:multiLvlStrRef>
          </c:cat>
          <c:val>
            <c:numRef>
              <c:f>'Per provincie'!$C$23:$I$23</c:f>
              <c:numCache/>
            </c:numRef>
          </c:val>
          <c:smooth val="0"/>
        </c:ser>
        <c:ser>
          <c:idx val="22"/>
          <c:order val="20"/>
          <c:tx>
            <c:strRef>
              <c:f>'Per provincie'!$A$24:$B$24</c:f>
              <c:strCache>
                <c:ptCount val="1"/>
                <c:pt idx="0">
                  <c:v>EhB Anderlecht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multiLvlStrRef>
              <c:f>'Per provincie'!$C$2:$I$3</c:f>
              <c:multiLvlStrCache/>
            </c:multiLvlStrRef>
          </c:cat>
          <c:val>
            <c:numRef>
              <c:f>'Per provincie'!$C$24:$I$24</c:f>
            </c:numRef>
          </c:val>
          <c:smooth val="0"/>
        </c:ser>
        <c:ser>
          <c:idx val="23"/>
          <c:order val="21"/>
          <c:tx>
            <c:strRef>
              <c:f>'Per provincie'!$A$25:$B$25</c:f>
              <c:strCache>
                <c:ptCount val="1"/>
                <c:pt idx="0">
                  <c:v>HUB-EHSAL Brussel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multiLvlStrRef>
              <c:f>'Per provincie'!$C$2:$I$3</c:f>
              <c:multiLvlStrCache/>
            </c:multiLvlStrRef>
          </c:cat>
          <c:val>
            <c:numRef>
              <c:f>'Per provincie'!$C$25:$I$25</c:f>
            </c:numRef>
          </c:val>
          <c:smooth val="0"/>
        </c:ser>
        <c:ser>
          <c:idx val="10"/>
          <c:order val="22"/>
          <c:tx>
            <c:strRef>
              <c:f>'Per provincie'!$A$26:$B$26</c:f>
              <c:strCache>
                <c:ptCount val="1"/>
                <c:pt idx="0">
                  <c:v>VLAAMS-BRABANT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00"/>
              </a:solidFill>
              <a:ln>
                <a:solidFill>
                  <a:srgbClr val="CCFFCC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'Per provincie'!$C$2:$I$3</c:f>
              <c:multiLvlStrCache/>
            </c:multiLvlStrRef>
          </c:cat>
          <c:val>
            <c:numRef>
              <c:f>'Per provincie'!$C$26:$I$26</c:f>
              <c:numCache/>
            </c:numRef>
          </c:val>
          <c:smooth val="0"/>
        </c:ser>
        <c:ser>
          <c:idx val="11"/>
          <c:order val="23"/>
          <c:tx>
            <c:strRef>
              <c:f>'Per provincie'!$A$27:$B$27</c:f>
              <c:strCache>
                <c:ptCount val="1"/>
                <c:pt idx="0">
                  <c:v>BRUSSEL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FF99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'Per provincie'!$C$2:$I$3</c:f>
              <c:multiLvlStrCache/>
            </c:multiLvlStrRef>
          </c:cat>
          <c:val>
            <c:numRef>
              <c:f>'Per provincie'!$C$27:$I$27</c:f>
              <c:numCache/>
            </c:numRef>
          </c:val>
          <c:smooth val="0"/>
        </c:ser>
        <c:marker val="1"/>
        <c:axId val="30825100"/>
        <c:axId val="8990445"/>
      </c:lineChart>
      <c:catAx>
        <c:axId val="3082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90445"/>
        <c:crosses val="autoZero"/>
        <c:auto val="1"/>
        <c:lblOffset val="100"/>
        <c:tickLblSkip val="1"/>
        <c:noMultiLvlLbl val="0"/>
      </c:catAx>
      <c:valAx>
        <c:axId val="8990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25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025"/>
          <c:y val="0.9635"/>
          <c:w val="0.74075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TOTAAL AANTAL STUDENTEN BACHELOR VROEDKUNDE PER PROVINCIE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7"/>
          <c:w val="0.9805"/>
          <c:h val="0.83175"/>
        </c:manualLayout>
      </c:layout>
      <c:lineChart>
        <c:grouping val="standard"/>
        <c:varyColors val="0"/>
        <c:ser>
          <c:idx val="0"/>
          <c:order val="0"/>
          <c:tx>
            <c:strRef>
              <c:f>'Per provincie'!$A$38</c:f>
              <c:strCache>
                <c:ptCount val="1"/>
                <c:pt idx="0">
                  <c:v>ANTWERPEN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9966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 provincie'!$B$38:$I$38</c:f>
              <c:numCache/>
            </c:numRef>
          </c:val>
          <c:smooth val="0"/>
        </c:ser>
        <c:ser>
          <c:idx val="1"/>
          <c:order val="1"/>
          <c:tx>
            <c:strRef>
              <c:f>'Per provincie'!$A$39</c:f>
              <c:strCache>
                <c:ptCount val="1"/>
                <c:pt idx="0">
                  <c:v>KaHo Sint-Lieven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'Per provincie'!$B$39:$I$39</c:f>
            </c:numRef>
          </c:val>
          <c:smooth val="0"/>
        </c:ser>
        <c:ser>
          <c:idx val="2"/>
          <c:order val="2"/>
          <c:tx>
            <c:strRef>
              <c:f>'Per provincie'!$A$40</c:f>
              <c:strCache>
                <c:ptCount val="1"/>
                <c:pt idx="0">
                  <c:v>Ahs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'Per provincie'!$B$40:$I$40</c:f>
            </c:numRef>
          </c:val>
          <c:smooth val="0"/>
        </c:ser>
        <c:ser>
          <c:idx val="3"/>
          <c:order val="3"/>
          <c:tx>
            <c:strRef>
              <c:f>'Per provincie'!$A$41</c:f>
              <c:strCache>
                <c:ptCount val="1"/>
                <c:pt idx="0">
                  <c:v>OOST-VLAANDEREN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 provincie'!$B$41:$I$41</c:f>
              <c:numCache/>
            </c:numRef>
          </c:val>
          <c:smooth val="0"/>
        </c:ser>
        <c:ser>
          <c:idx val="4"/>
          <c:order val="4"/>
          <c:tx>
            <c:strRef>
              <c:f>'Per provincie'!$A$42</c:f>
              <c:strCache>
                <c:ptCount val="1"/>
                <c:pt idx="0">
                  <c:v>KATHO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'Per provincie'!$B$42:$I$42</c:f>
            </c:numRef>
          </c:val>
          <c:smooth val="0"/>
        </c:ser>
        <c:ser>
          <c:idx val="5"/>
          <c:order val="5"/>
          <c:tx>
            <c:strRef>
              <c:f>'Per provincie'!$A$43</c:f>
              <c:strCache>
                <c:ptCount val="1"/>
                <c:pt idx="0">
                  <c:v>KHBO 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'Per provincie'!$B$43:$I$43</c:f>
            </c:numRef>
          </c:val>
          <c:smooth val="0"/>
        </c:ser>
        <c:ser>
          <c:idx val="6"/>
          <c:order val="6"/>
          <c:tx>
            <c:strRef>
              <c:f>'Per provincie'!$A$44</c:f>
              <c:strCache>
                <c:ptCount val="1"/>
                <c:pt idx="0">
                  <c:v>WEST-VLAANDEREN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 provincie'!$B$44:$I$44</c:f>
              <c:numCache/>
            </c:numRef>
          </c:val>
          <c:smooth val="0"/>
        </c:ser>
        <c:ser>
          <c:idx val="12"/>
          <c:order val="7"/>
          <c:tx>
            <c:strRef>
              <c:f>'Per provincie'!$A$45</c:f>
              <c:strCache>
                <c:ptCount val="1"/>
                <c:pt idx="0">
                  <c:v>KHLim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val>
            <c:numRef>
              <c:f>'Per provincie'!$B$45:$I$45</c:f>
            </c:numRef>
          </c:val>
          <c:smooth val="0"/>
        </c:ser>
        <c:ser>
          <c:idx val="13"/>
          <c:order val="8"/>
          <c:tx>
            <c:strRef>
              <c:f>'Per provincie'!$A$46</c:f>
              <c:strCache>
                <c:ptCount val="1"/>
                <c:pt idx="0">
                  <c:v>PHL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val>
            <c:numRef>
              <c:f>'Per provincie'!$B$46:$I$46</c:f>
            </c:numRef>
          </c:val>
          <c:smooth val="0"/>
        </c:ser>
        <c:ser>
          <c:idx val="8"/>
          <c:order val="9"/>
          <c:tx>
            <c:strRef>
              <c:f>'Per provincie'!$A$47</c:f>
              <c:strCache>
                <c:ptCount val="1"/>
                <c:pt idx="0">
                  <c:v>LIMBURG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FF"/>
              </a:solidFill>
              <a:ln>
                <a:solidFill>
                  <a:srgbClr val="00CC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96969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96969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96969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96969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96969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96969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96969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69696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 provincie'!$B$47:$I$47</c:f>
              <c:numCache/>
            </c:numRef>
          </c:val>
          <c:smooth val="0"/>
        </c:ser>
        <c:ser>
          <c:idx val="15"/>
          <c:order val="10"/>
          <c:tx>
            <c:strRef>
              <c:f>'Per provincie'!$A$48</c:f>
              <c:strCache>
                <c:ptCount val="1"/>
                <c:pt idx="0">
                  <c:v>EhB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'Per provincie'!$B$48:$I$48</c:f>
            </c:numRef>
          </c:val>
          <c:smooth val="0"/>
        </c:ser>
        <c:ser>
          <c:idx val="7"/>
          <c:order val="11"/>
          <c:tx>
            <c:strRef>
              <c:f>'Per provincie'!$A$49</c:f>
              <c:strCache>
                <c:ptCount val="1"/>
                <c:pt idx="0">
                  <c:v>VLAAMS-BRABANT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 provincie'!$B$49:$I$49</c:f>
              <c:numCache/>
            </c:numRef>
          </c:val>
          <c:smooth val="0"/>
        </c:ser>
        <c:ser>
          <c:idx val="9"/>
          <c:order val="12"/>
          <c:tx>
            <c:strRef>
              <c:f>'Per provincie'!$A$50</c:f>
              <c:strCache>
                <c:ptCount val="1"/>
                <c:pt idx="0">
                  <c:v>BRUSSEL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 provincie'!$B$50:$I$50</c:f>
              <c:numCache/>
            </c:numRef>
          </c:val>
          <c:smooth val="0"/>
        </c:ser>
        <c:marker val="1"/>
        <c:axId val="13805142"/>
        <c:axId val="57137415"/>
      </c:lineChart>
      <c:catAx>
        <c:axId val="13805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37415"/>
        <c:crosses val="autoZero"/>
        <c:auto val="1"/>
        <c:lblOffset val="100"/>
        <c:tickLblSkip val="1"/>
        <c:noMultiLvlLbl val="0"/>
      </c:catAx>
      <c:valAx>
        <c:axId val="571374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05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95725"/>
          <c:w val="0.89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Evolutie HBO5 - VVKSO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48"/>
          <c:w val="0.9742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'VKSO HBO5'!$A$4</c:f>
              <c:strCache>
                <c:ptCount val="1"/>
                <c:pt idx="0">
                  <c:v>WEST-VLAANDEREN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'VKSO HBO5'!$B$3:$C$3</c:f>
              <c:numCache/>
            </c:numRef>
          </c:cat>
          <c:val>
            <c:numRef>
              <c:f>'VKSO HBO5'!$B$4:$C$4</c:f>
              <c:numCache/>
            </c:numRef>
          </c:val>
          <c:smooth val="0"/>
        </c:ser>
        <c:ser>
          <c:idx val="1"/>
          <c:order val="1"/>
          <c:tx>
            <c:strRef>
              <c:f>'VKSO HBO5'!$A$5</c:f>
              <c:strCache>
                <c:ptCount val="1"/>
                <c:pt idx="0">
                  <c:v>ANTWERPEN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'VKSO HBO5'!$B$3:$C$3</c:f>
              <c:numCache/>
            </c:numRef>
          </c:cat>
          <c:val>
            <c:numRef>
              <c:f>'VKSO HBO5'!$B$5:$C$5</c:f>
              <c:numCache/>
            </c:numRef>
          </c:val>
          <c:smooth val="0"/>
        </c:ser>
        <c:ser>
          <c:idx val="2"/>
          <c:order val="2"/>
          <c:tx>
            <c:strRef>
              <c:f>'VKSO HBO5'!$A$6</c:f>
              <c:strCache>
                <c:ptCount val="1"/>
                <c:pt idx="0">
                  <c:v>OOST-VLAANDEREN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96969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96969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69696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'VKSO HBO5'!$B$3:$C$3</c:f>
              <c:numCache/>
            </c:numRef>
          </c:cat>
          <c:val>
            <c:numRef>
              <c:f>'VKSO HBO5'!$B$6:$C$6</c:f>
              <c:numCache/>
            </c:numRef>
          </c:val>
          <c:smooth val="0"/>
        </c:ser>
        <c:ser>
          <c:idx val="3"/>
          <c:order val="3"/>
          <c:tx>
            <c:strRef>
              <c:f>'VKSO HBO5'!$A$7</c:f>
              <c:strCache>
                <c:ptCount val="1"/>
                <c:pt idx="0">
                  <c:v>LIMBURG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'VKSO HBO5'!$B$3:$C$3</c:f>
              <c:numCache/>
            </c:numRef>
          </c:cat>
          <c:val>
            <c:numRef>
              <c:f>'VKSO HBO5'!$B$7:$C$7</c:f>
              <c:numCache/>
            </c:numRef>
          </c:val>
          <c:smooth val="0"/>
        </c:ser>
        <c:ser>
          <c:idx val="4"/>
          <c:order val="4"/>
          <c:tx>
            <c:strRef>
              <c:f>'VKSO HBO5'!$A$8</c:f>
              <c:strCache>
                <c:ptCount val="1"/>
                <c:pt idx="0">
                  <c:v>VLAAMS-BRABANT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'VKSO HBO5'!$B$3:$C$3</c:f>
              <c:numCache/>
            </c:numRef>
          </c:cat>
          <c:val>
            <c:numRef>
              <c:f>'VKSO HBO5'!$B$8:$C$8</c:f>
              <c:numCache/>
            </c:numRef>
          </c:val>
          <c:smooth val="0"/>
        </c:ser>
        <c:marker val="1"/>
        <c:axId val="44474688"/>
        <c:axId val="64727873"/>
      </c:lineChart>
      <c:catAx>
        <c:axId val="44474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27873"/>
        <c:crosses val="autoZero"/>
        <c:auto val="1"/>
        <c:lblOffset val="100"/>
        <c:tickLblSkip val="1"/>
        <c:noMultiLvlLbl val="0"/>
      </c:catAx>
      <c:valAx>
        <c:axId val="647278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7468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Totaal HBO5 en Bachelor per provincie 2009 vs 2010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025"/>
          <c:w val="0.9785"/>
          <c:h val="0.831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'HS en HBO5 samen'!$B$2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'HS en HBO5 samen'!$A$3:$A$17</c:f>
              <c:strCache/>
            </c:strRef>
          </c:cat>
          <c:val>
            <c:numRef>
              <c:f>'HS en HBO5 samen'!$B$3:$B$17</c:f>
              <c:numCache/>
            </c:numRef>
          </c:val>
          <c:shape val="box"/>
        </c:ser>
        <c:ser>
          <c:idx val="3"/>
          <c:order val="1"/>
          <c:tx>
            <c:strRef>
              <c:f>'HS en HBO5 samen'!$C$2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'HS en HBO5 samen'!$A$3:$A$17</c:f>
              <c:strCache/>
            </c:strRef>
          </c:cat>
          <c:val>
            <c:numRef>
              <c:f>'HS en HBO5 samen'!$C$3:$C$17</c:f>
            </c:numRef>
          </c:val>
          <c:shape val="box"/>
        </c:ser>
        <c:ser>
          <c:idx val="4"/>
          <c:order val="2"/>
          <c:tx>
            <c:strRef>
              <c:f>'HS en HBO5 samen'!$D$2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'HS en HBO5 samen'!$A$3:$A$17</c:f>
              <c:strCache/>
            </c:strRef>
          </c:cat>
          <c:val>
            <c:numRef>
              <c:f>'HS en HBO5 samen'!$D$3:$D$17</c:f>
            </c:numRef>
          </c:val>
          <c:shape val="box"/>
        </c:ser>
        <c:ser>
          <c:idx val="0"/>
          <c:order val="3"/>
          <c:tx>
            <c:strRef>
              <c:f>'HS en HBO5 samen'!$E$2</c:f>
              <c:strCache>
                <c:ptCount val="1"/>
                <c:pt idx="0">
                  <c:v>Totaal 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'HS en HBO5 samen'!$A$3:$A$17</c:f>
              <c:strCache/>
            </c:strRef>
          </c:cat>
          <c:val>
            <c:numRef>
              <c:f>'HS en HBO5 samen'!$E$3:$E$17</c:f>
              <c:numCache/>
            </c:numRef>
          </c:val>
          <c:shape val="box"/>
        </c:ser>
        <c:ser>
          <c:idx val="5"/>
          <c:order val="4"/>
          <c:tx>
            <c:strRef>
              <c:f>'HS en HBO5 samen'!$F$2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'HS en HBO5 samen'!$A$3:$A$17</c:f>
              <c:strCache/>
            </c:strRef>
          </c:cat>
          <c:val>
            <c:numRef>
              <c:f>'HS en HBO5 samen'!$F$3:$F$17</c:f>
            </c:numRef>
          </c:val>
          <c:shape val="box"/>
        </c:ser>
        <c:ser>
          <c:idx val="6"/>
          <c:order val="5"/>
          <c:tx>
            <c:strRef>
              <c:f>'HS en HBO5 samen'!$G$2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'HS en HBO5 samen'!$A$3:$A$17</c:f>
              <c:strCache/>
            </c:strRef>
          </c:cat>
          <c:val>
            <c:numRef>
              <c:f>'HS en HBO5 samen'!$G$3:$G$17</c:f>
            </c:numRef>
          </c:val>
          <c:shape val="box"/>
        </c:ser>
        <c:ser>
          <c:idx val="1"/>
          <c:order val="6"/>
          <c:tx>
            <c:strRef>
              <c:f>'HS en HBO5 samen'!$H$2</c:f>
              <c:strCache>
                <c:ptCount val="1"/>
                <c:pt idx="0">
                  <c:v>Totaal 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'HS en HBO5 samen'!$A$3:$A$17</c:f>
              <c:strCache/>
            </c:strRef>
          </c:cat>
          <c:val>
            <c:numRef>
              <c:f>'HS en HBO5 samen'!$H$3:$H$17</c:f>
              <c:numCache/>
            </c:numRef>
          </c:val>
          <c:shape val="box"/>
        </c:ser>
        <c:shape val="box"/>
        <c:axId val="45679946"/>
        <c:axId val="8466331"/>
      </c:bar3DChart>
      <c:catAx>
        <c:axId val="45679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466331"/>
        <c:crosses val="autoZero"/>
        <c:auto val="1"/>
        <c:lblOffset val="100"/>
        <c:tickLblSkip val="2"/>
        <c:noMultiLvlLbl val="0"/>
      </c:catAx>
      <c:valAx>
        <c:axId val="8466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7994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61</xdr:row>
      <xdr:rowOff>28575</xdr:rowOff>
    </xdr:from>
    <xdr:to>
      <xdr:col>20</xdr:col>
      <xdr:colOff>390525</xdr:colOff>
      <xdr:row>95</xdr:row>
      <xdr:rowOff>66675</xdr:rowOff>
    </xdr:to>
    <xdr:graphicFrame>
      <xdr:nvGraphicFramePr>
        <xdr:cNvPr id="1" name="Chart 2"/>
        <xdr:cNvGraphicFramePr/>
      </xdr:nvGraphicFramePr>
      <xdr:xfrm>
        <a:off x="66675" y="4857750"/>
        <a:ext cx="850582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96</xdr:row>
      <xdr:rowOff>85725</xdr:rowOff>
    </xdr:from>
    <xdr:to>
      <xdr:col>20</xdr:col>
      <xdr:colOff>419100</xdr:colOff>
      <xdr:row>128</xdr:row>
      <xdr:rowOff>152400</xdr:rowOff>
    </xdr:to>
    <xdr:graphicFrame>
      <xdr:nvGraphicFramePr>
        <xdr:cNvPr id="2" name="Chart 3"/>
        <xdr:cNvGraphicFramePr/>
      </xdr:nvGraphicFramePr>
      <xdr:xfrm>
        <a:off x="114300" y="10582275"/>
        <a:ext cx="8486775" cy="5248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57150</xdr:rowOff>
    </xdr:from>
    <xdr:to>
      <xdr:col>9</xdr:col>
      <xdr:colOff>323850</xdr:colOff>
      <xdr:row>35</xdr:row>
      <xdr:rowOff>66675</xdr:rowOff>
    </xdr:to>
    <xdr:graphicFrame>
      <xdr:nvGraphicFramePr>
        <xdr:cNvPr id="1" name="Chart 2"/>
        <xdr:cNvGraphicFramePr/>
      </xdr:nvGraphicFramePr>
      <xdr:xfrm>
        <a:off x="47625" y="1800225"/>
        <a:ext cx="65341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14</xdr:col>
      <xdr:colOff>485775</xdr:colOff>
      <xdr:row>54</xdr:row>
      <xdr:rowOff>133350</xdr:rowOff>
    </xdr:to>
    <xdr:graphicFrame>
      <xdr:nvGraphicFramePr>
        <xdr:cNvPr id="1" name="Chart 1"/>
        <xdr:cNvGraphicFramePr/>
      </xdr:nvGraphicFramePr>
      <xdr:xfrm>
        <a:off x="0" y="1562100"/>
        <a:ext cx="78105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zoomScalePageLayoutView="0" workbookViewId="0" topLeftCell="A1">
      <selection activeCell="E38" activeCellId="5" sqref="I26 I28 I28 I26 I28 E38"/>
    </sheetView>
  </sheetViews>
  <sheetFormatPr defaultColWidth="9.140625" defaultRowHeight="12.75"/>
  <cols>
    <col min="1" max="1" width="21.7109375" style="0" bestFit="1" customWidth="1"/>
    <col min="2" max="2" width="7.7109375" style="0" bestFit="1" customWidth="1"/>
    <col min="3" max="8" width="5.7109375" style="0" bestFit="1" customWidth="1"/>
    <col min="9" max="9" width="6.28125" style="0" customWidth="1"/>
    <col min="10" max="10" width="5.7109375" style="0" bestFit="1" customWidth="1"/>
    <col min="11" max="11" width="2.28125" style="100" customWidth="1"/>
    <col min="12" max="17" width="5.7109375" style="0" bestFit="1" customWidth="1"/>
    <col min="18" max="18" width="6.28125" style="0" customWidth="1"/>
    <col min="19" max="19" width="6.140625" style="0" bestFit="1" customWidth="1"/>
  </cols>
  <sheetData>
    <row r="1" spans="3:18" ht="20.25" customHeight="1" thickBot="1">
      <c r="C1" s="230" t="s">
        <v>47</v>
      </c>
      <c r="D1" s="231"/>
      <c r="E1" s="231"/>
      <c r="F1" s="231"/>
      <c r="G1" s="231"/>
      <c r="H1" s="231"/>
      <c r="I1" s="232"/>
      <c r="L1" s="233" t="s">
        <v>49</v>
      </c>
      <c r="M1" s="234"/>
      <c r="N1" s="234"/>
      <c r="O1" s="234"/>
      <c r="P1" s="234"/>
      <c r="Q1" s="234"/>
      <c r="R1" s="235"/>
    </row>
    <row r="2" spans="3:19" s="155" customFormat="1" ht="30.75" customHeight="1" thickBot="1">
      <c r="C2" s="156" t="s">
        <v>30</v>
      </c>
      <c r="D2" s="156" t="s">
        <v>31</v>
      </c>
      <c r="E2" s="156" t="s">
        <v>32</v>
      </c>
      <c r="F2" s="156" t="s">
        <v>33</v>
      </c>
      <c r="G2" s="156" t="s">
        <v>34</v>
      </c>
      <c r="H2" s="156" t="s">
        <v>35</v>
      </c>
      <c r="I2" s="157" t="s">
        <v>36</v>
      </c>
      <c r="J2" s="158" t="s">
        <v>50</v>
      </c>
      <c r="K2" s="146"/>
      <c r="L2" s="159" t="s">
        <v>30</v>
      </c>
      <c r="M2" s="159" t="s">
        <v>31</v>
      </c>
      <c r="N2" s="159" t="s">
        <v>32</v>
      </c>
      <c r="O2" s="159" t="s">
        <v>33</v>
      </c>
      <c r="P2" s="159" t="s">
        <v>34</v>
      </c>
      <c r="Q2" s="159" t="s">
        <v>35</v>
      </c>
      <c r="R2" s="160" t="s">
        <v>36</v>
      </c>
      <c r="S2" s="158" t="s">
        <v>50</v>
      </c>
    </row>
    <row r="3" spans="1:19" s="10" customFormat="1" ht="16.5" customHeight="1" thickBot="1">
      <c r="A3" s="109" t="s">
        <v>44</v>
      </c>
      <c r="C3" s="107"/>
      <c r="D3" s="107"/>
      <c r="E3" s="107"/>
      <c r="F3" s="107"/>
      <c r="G3" s="107"/>
      <c r="H3" s="107"/>
      <c r="I3" s="107"/>
      <c r="J3" s="148"/>
      <c r="K3" s="101"/>
      <c r="L3" s="108"/>
      <c r="M3" s="108"/>
      <c r="N3" s="108"/>
      <c r="O3" s="108"/>
      <c r="P3" s="108"/>
      <c r="Q3" s="108"/>
      <c r="R3" s="108"/>
      <c r="S3" s="148"/>
    </row>
    <row r="4" spans="1:19" s="10" customFormat="1" ht="12" customHeight="1">
      <c r="A4" s="66" t="s">
        <v>0</v>
      </c>
      <c r="B4" s="102" t="s">
        <v>1</v>
      </c>
      <c r="C4" s="68">
        <f>106+191</f>
        <v>297</v>
      </c>
      <c r="D4" s="68">
        <f>194+114</f>
        <v>308</v>
      </c>
      <c r="E4" s="68">
        <v>260</v>
      </c>
      <c r="F4" s="69">
        <v>272</v>
      </c>
      <c r="G4" s="68">
        <v>276</v>
      </c>
      <c r="H4" s="70">
        <v>293</v>
      </c>
      <c r="I4" s="71">
        <f>302+25</f>
        <v>327</v>
      </c>
      <c r="J4" s="72">
        <f>I4/H4-1</f>
        <v>0.11604095563139927</v>
      </c>
      <c r="K4" s="73"/>
      <c r="L4" s="68">
        <v>55</v>
      </c>
      <c r="M4" s="68">
        <v>65</v>
      </c>
      <c r="N4" s="69">
        <v>37</v>
      </c>
      <c r="O4" s="74">
        <v>101</v>
      </c>
      <c r="P4" s="67">
        <v>85</v>
      </c>
      <c r="Q4" s="75">
        <v>88</v>
      </c>
      <c r="R4" s="103">
        <v>81</v>
      </c>
      <c r="S4" s="77">
        <f>R4/Q4-1</f>
        <v>-0.07954545454545459</v>
      </c>
    </row>
    <row r="5" spans="1:19" s="10" customFormat="1" ht="12" customHeight="1">
      <c r="A5" s="78" t="s">
        <v>0</v>
      </c>
      <c r="B5" s="32" t="s">
        <v>2</v>
      </c>
      <c r="C5" s="2">
        <f>17+31</f>
        <v>48</v>
      </c>
      <c r="D5" s="2">
        <v>18</v>
      </c>
      <c r="E5" s="2">
        <v>0</v>
      </c>
      <c r="F5" s="3"/>
      <c r="G5" s="2"/>
      <c r="H5" s="4"/>
      <c r="I5" s="19"/>
      <c r="J5" s="1"/>
      <c r="L5" s="2">
        <v>9</v>
      </c>
      <c r="M5" s="2">
        <v>0</v>
      </c>
      <c r="N5" s="3">
        <v>0</v>
      </c>
      <c r="O5" s="7"/>
      <c r="P5" s="1"/>
      <c r="Q5" s="8"/>
      <c r="R5" s="9"/>
      <c r="S5" s="79"/>
    </row>
    <row r="6" spans="1:19" s="10" customFormat="1" ht="12" customHeight="1">
      <c r="A6" s="78" t="s">
        <v>18</v>
      </c>
      <c r="B6" s="32" t="s">
        <v>1</v>
      </c>
      <c r="C6" s="2">
        <f>129+354</f>
        <v>483</v>
      </c>
      <c r="D6" s="2">
        <f>344+134</f>
        <v>478</v>
      </c>
      <c r="E6" s="2">
        <v>521</v>
      </c>
      <c r="F6" s="3">
        <f>178+352</f>
        <v>530</v>
      </c>
      <c r="G6" s="2">
        <f>326+176</f>
        <v>502</v>
      </c>
      <c r="H6" s="4">
        <f>367+250</f>
        <v>617</v>
      </c>
      <c r="I6" s="19">
        <f>409+203</f>
        <v>612</v>
      </c>
      <c r="J6" s="56">
        <f aca="true" t="shared" si="0" ref="J6:J29">I6/H6-1</f>
        <v>-0.008103727714748765</v>
      </c>
      <c r="K6" s="6"/>
      <c r="L6" s="2">
        <v>77</v>
      </c>
      <c r="M6" s="2">
        <v>171</v>
      </c>
      <c r="N6" s="3">
        <v>179</v>
      </c>
      <c r="O6" s="7">
        <f>69+80</f>
        <v>149</v>
      </c>
      <c r="P6" s="1">
        <f>75+87</f>
        <v>162</v>
      </c>
      <c r="Q6" s="8">
        <f>103+120</f>
        <v>223</v>
      </c>
      <c r="R6" s="9">
        <f>119+57</f>
        <v>176</v>
      </c>
      <c r="S6" s="79">
        <f aca="true" t="shared" si="1" ref="S6:S29">R6/Q6-1</f>
        <v>-0.21076233183856508</v>
      </c>
    </row>
    <row r="7" spans="1:19" s="18" customFormat="1" ht="12" customHeight="1">
      <c r="A7" s="104" t="s">
        <v>28</v>
      </c>
      <c r="B7" s="32" t="s">
        <v>2</v>
      </c>
      <c r="C7" s="2">
        <f>51+107</f>
        <v>158</v>
      </c>
      <c r="D7" s="2">
        <f>135+46</f>
        <v>181</v>
      </c>
      <c r="E7" s="2">
        <f>220</f>
        <v>220</v>
      </c>
      <c r="F7" s="3">
        <v>298</v>
      </c>
      <c r="G7" s="2">
        <v>392</v>
      </c>
      <c r="H7" s="4">
        <v>434</v>
      </c>
      <c r="I7" s="19">
        <v>478</v>
      </c>
      <c r="J7" s="56">
        <f t="shared" si="0"/>
        <v>0.10138248847926268</v>
      </c>
      <c r="K7" s="6"/>
      <c r="L7" s="2">
        <v>27</v>
      </c>
      <c r="M7" s="2">
        <v>31</v>
      </c>
      <c r="N7" s="3">
        <v>41</v>
      </c>
      <c r="O7" s="7">
        <v>120</v>
      </c>
      <c r="P7" s="1">
        <v>148</v>
      </c>
      <c r="Q7" s="8">
        <v>135</v>
      </c>
      <c r="R7" s="9">
        <v>134</v>
      </c>
      <c r="S7" s="79">
        <f t="shared" si="1"/>
        <v>-0.007407407407407418</v>
      </c>
    </row>
    <row r="8" spans="1:19" s="10" customFormat="1" ht="12" customHeight="1">
      <c r="A8" s="78" t="s">
        <v>21</v>
      </c>
      <c r="B8" s="32" t="s">
        <v>22</v>
      </c>
      <c r="C8" s="2">
        <f>90+205</f>
        <v>295</v>
      </c>
      <c r="D8" s="2">
        <f>227+103</f>
        <v>330</v>
      </c>
      <c r="E8" s="2">
        <v>306</v>
      </c>
      <c r="F8" s="3">
        <v>365</v>
      </c>
      <c r="G8" s="2">
        <v>389</v>
      </c>
      <c r="H8" s="4">
        <v>399</v>
      </c>
      <c r="I8" s="19">
        <v>422</v>
      </c>
      <c r="J8" s="56">
        <f t="shared" si="0"/>
        <v>0.057644110275689275</v>
      </c>
      <c r="K8" s="6"/>
      <c r="L8" s="2">
        <v>79</v>
      </c>
      <c r="M8" s="2">
        <v>102</v>
      </c>
      <c r="N8" s="3">
        <v>61</v>
      </c>
      <c r="O8" s="7">
        <v>146</v>
      </c>
      <c r="P8" s="1">
        <v>134</v>
      </c>
      <c r="Q8" s="8">
        <v>126</v>
      </c>
      <c r="R8" s="9">
        <v>142</v>
      </c>
      <c r="S8" s="79">
        <f t="shared" si="1"/>
        <v>0.12698412698412698</v>
      </c>
    </row>
    <row r="9" spans="1:19" s="10" customFormat="1" ht="12" customHeight="1">
      <c r="A9" s="78" t="s">
        <v>21</v>
      </c>
      <c r="B9" s="32" t="s">
        <v>23</v>
      </c>
      <c r="C9" s="2">
        <f>65+199</f>
        <v>264</v>
      </c>
      <c r="D9" s="2">
        <f>187+70</f>
        <v>257</v>
      </c>
      <c r="E9" s="2">
        <v>262</v>
      </c>
      <c r="F9" s="3">
        <v>308</v>
      </c>
      <c r="G9" s="2">
        <v>281</v>
      </c>
      <c r="H9" s="4">
        <v>269</v>
      </c>
      <c r="I9" s="19">
        <v>286</v>
      </c>
      <c r="J9" s="56">
        <f t="shared" si="0"/>
        <v>0.06319702602230493</v>
      </c>
      <c r="K9" s="6"/>
      <c r="L9" s="2">
        <v>44</v>
      </c>
      <c r="M9" s="2">
        <v>74</v>
      </c>
      <c r="N9" s="3">
        <v>39</v>
      </c>
      <c r="O9" s="7">
        <v>102</v>
      </c>
      <c r="P9" s="1">
        <v>69</v>
      </c>
      <c r="Q9" s="8">
        <v>75</v>
      </c>
      <c r="R9" s="9">
        <v>97</v>
      </c>
      <c r="S9" s="79">
        <f t="shared" si="1"/>
        <v>0.2933333333333332</v>
      </c>
    </row>
    <row r="10" spans="1:19" s="39" customFormat="1" ht="12" customHeight="1">
      <c r="A10" s="236" t="s">
        <v>37</v>
      </c>
      <c r="B10" s="237"/>
      <c r="C10" s="40">
        <f>SUM(C4:C9)</f>
        <v>1545</v>
      </c>
      <c r="D10" s="40">
        <f aca="true" t="shared" si="2" ref="D10:I10">SUM(D4:D9)</f>
        <v>1572</v>
      </c>
      <c r="E10" s="40">
        <f t="shared" si="2"/>
        <v>1569</v>
      </c>
      <c r="F10" s="40">
        <f t="shared" si="2"/>
        <v>1773</v>
      </c>
      <c r="G10" s="40">
        <f t="shared" si="2"/>
        <v>1840</v>
      </c>
      <c r="H10" s="40">
        <f t="shared" si="2"/>
        <v>2012</v>
      </c>
      <c r="I10" s="49">
        <f t="shared" si="2"/>
        <v>2125</v>
      </c>
      <c r="J10" s="57">
        <f t="shared" si="0"/>
        <v>0.05616302186878719</v>
      </c>
      <c r="K10" s="41"/>
      <c r="L10" s="40">
        <f>SUM(L4:L9)</f>
        <v>291</v>
      </c>
      <c r="M10" s="40">
        <f aca="true" t="shared" si="3" ref="M10:R10">SUM(M4:M9)</f>
        <v>443</v>
      </c>
      <c r="N10" s="40">
        <f t="shared" si="3"/>
        <v>357</v>
      </c>
      <c r="O10" s="40">
        <f t="shared" si="3"/>
        <v>618</v>
      </c>
      <c r="P10" s="40">
        <f t="shared" si="3"/>
        <v>598</v>
      </c>
      <c r="Q10" s="40">
        <f t="shared" si="3"/>
        <v>647</v>
      </c>
      <c r="R10" s="40">
        <f t="shared" si="3"/>
        <v>630</v>
      </c>
      <c r="S10" s="80">
        <f t="shared" si="1"/>
        <v>-0.026275115919629055</v>
      </c>
    </row>
    <row r="11" spans="1:19" s="10" customFormat="1" ht="12" customHeight="1">
      <c r="A11" s="78" t="s">
        <v>12</v>
      </c>
      <c r="B11" s="28" t="s">
        <v>14</v>
      </c>
      <c r="C11" s="2">
        <f>55+77</f>
        <v>132</v>
      </c>
      <c r="D11" s="2">
        <f>101+36</f>
        <v>137</v>
      </c>
      <c r="E11" s="2">
        <v>153</v>
      </c>
      <c r="F11" s="3">
        <v>144</v>
      </c>
      <c r="G11" s="2">
        <v>189</v>
      </c>
      <c r="H11" s="4">
        <v>249</v>
      </c>
      <c r="I11" s="63">
        <v>305</v>
      </c>
      <c r="J11" s="56">
        <f t="shared" si="0"/>
        <v>0.2248995983935742</v>
      </c>
      <c r="K11" s="6"/>
      <c r="L11" s="2">
        <v>41</v>
      </c>
      <c r="M11" s="2">
        <v>42</v>
      </c>
      <c r="N11" s="3">
        <v>61</v>
      </c>
      <c r="O11" s="7">
        <v>32</v>
      </c>
      <c r="P11" s="1">
        <v>59</v>
      </c>
      <c r="Q11" s="8">
        <v>77</v>
      </c>
      <c r="R11" s="17">
        <v>87</v>
      </c>
      <c r="S11" s="79">
        <f t="shared" si="1"/>
        <v>0.1298701298701299</v>
      </c>
    </row>
    <row r="12" spans="1:19" s="10" customFormat="1" ht="12" customHeight="1">
      <c r="A12" s="78" t="s">
        <v>3</v>
      </c>
      <c r="B12" s="28" t="s">
        <v>4</v>
      </c>
      <c r="C12" s="2">
        <f>167+227</f>
        <v>394</v>
      </c>
      <c r="D12" s="2">
        <f>255+110</f>
        <v>365</v>
      </c>
      <c r="E12" s="2">
        <v>376</v>
      </c>
      <c r="F12" s="3">
        <v>416</v>
      </c>
      <c r="G12" s="2">
        <v>435</v>
      </c>
      <c r="H12" s="4">
        <v>541</v>
      </c>
      <c r="I12" s="19">
        <v>624</v>
      </c>
      <c r="J12" s="56">
        <f t="shared" si="0"/>
        <v>0.15341959334565614</v>
      </c>
      <c r="K12" s="6"/>
      <c r="L12" s="2">
        <v>90</v>
      </c>
      <c r="M12" s="2">
        <v>88</v>
      </c>
      <c r="N12" s="3">
        <v>102</v>
      </c>
      <c r="O12" s="7">
        <v>148</v>
      </c>
      <c r="P12" s="1">
        <v>128</v>
      </c>
      <c r="Q12" s="8">
        <v>159</v>
      </c>
      <c r="R12" s="9">
        <v>171</v>
      </c>
      <c r="S12" s="79">
        <f t="shared" si="1"/>
        <v>0.07547169811320753</v>
      </c>
    </row>
    <row r="13" spans="1:19" s="10" customFormat="1" ht="12" customHeight="1">
      <c r="A13" s="105" t="s">
        <v>7</v>
      </c>
      <c r="B13" s="33" t="s">
        <v>4</v>
      </c>
      <c r="C13" s="12">
        <f>142+289</f>
        <v>431</v>
      </c>
      <c r="D13" s="12">
        <f>246+167</f>
        <v>413</v>
      </c>
      <c r="E13" s="12">
        <f>425+16</f>
        <v>441</v>
      </c>
      <c r="F13" s="13">
        <v>452</v>
      </c>
      <c r="G13" s="11">
        <v>514</v>
      </c>
      <c r="H13" s="14">
        <v>528</v>
      </c>
      <c r="I13" s="98">
        <v>647</v>
      </c>
      <c r="J13" s="56">
        <f>I13/H13-1</f>
        <v>0.22537878787878785</v>
      </c>
      <c r="K13" s="6"/>
      <c r="L13" s="12">
        <v>77</v>
      </c>
      <c r="M13" s="12">
        <v>74</v>
      </c>
      <c r="N13" s="16">
        <v>83</v>
      </c>
      <c r="O13" s="13">
        <v>178</v>
      </c>
      <c r="P13" s="11">
        <v>78</v>
      </c>
      <c r="Q13" s="14">
        <v>83</v>
      </c>
      <c r="R13" s="15">
        <v>215</v>
      </c>
      <c r="S13" s="79">
        <f t="shared" si="1"/>
        <v>1.5903614457831323</v>
      </c>
    </row>
    <row r="14" spans="1:19" s="10" customFormat="1" ht="12" customHeight="1">
      <c r="A14" s="78" t="s">
        <v>12</v>
      </c>
      <c r="B14" s="28" t="s">
        <v>13</v>
      </c>
      <c r="C14" s="2">
        <f>81+79</f>
        <v>160</v>
      </c>
      <c r="D14" s="2">
        <f>101+36</f>
        <v>137</v>
      </c>
      <c r="E14" s="2">
        <v>144</v>
      </c>
      <c r="F14" s="3">
        <v>157</v>
      </c>
      <c r="G14" s="2">
        <v>180</v>
      </c>
      <c r="H14" s="4">
        <v>201</v>
      </c>
      <c r="I14" s="63">
        <v>277</v>
      </c>
      <c r="J14" s="56">
        <f t="shared" si="0"/>
        <v>0.37810945273631846</v>
      </c>
      <c r="K14" s="6"/>
      <c r="L14" s="2">
        <v>50</v>
      </c>
      <c r="M14" s="2">
        <v>49</v>
      </c>
      <c r="N14" s="3">
        <v>56</v>
      </c>
      <c r="O14" s="7">
        <v>44</v>
      </c>
      <c r="P14" s="1">
        <v>61</v>
      </c>
      <c r="Q14" s="8">
        <v>61</v>
      </c>
      <c r="R14" s="17">
        <v>94</v>
      </c>
      <c r="S14" s="79">
        <f t="shared" si="1"/>
        <v>0.540983606557377</v>
      </c>
    </row>
    <row r="15" spans="1:19" s="39" customFormat="1" ht="12" customHeight="1">
      <c r="A15" s="238" t="s">
        <v>38</v>
      </c>
      <c r="B15" s="239"/>
      <c r="C15" s="38">
        <f>SUM(C11:C14)</f>
        <v>1117</v>
      </c>
      <c r="D15" s="38">
        <f aca="true" t="shared" si="4" ref="D15:I15">SUM(D11:D14)</f>
        <v>1052</v>
      </c>
      <c r="E15" s="38">
        <f t="shared" si="4"/>
        <v>1114</v>
      </c>
      <c r="F15" s="38">
        <f t="shared" si="4"/>
        <v>1169</v>
      </c>
      <c r="G15" s="38">
        <f t="shared" si="4"/>
        <v>1318</v>
      </c>
      <c r="H15" s="38">
        <f t="shared" si="4"/>
        <v>1519</v>
      </c>
      <c r="I15" s="51">
        <f t="shared" si="4"/>
        <v>1853</v>
      </c>
      <c r="J15" s="58">
        <f t="shared" si="0"/>
        <v>0.2198815009874917</v>
      </c>
      <c r="K15" s="41"/>
      <c r="L15" s="38">
        <f>SUM(L11:L14)</f>
        <v>258</v>
      </c>
      <c r="M15" s="38">
        <f aca="true" t="shared" si="5" ref="M15:R15">SUM(M11:M14)</f>
        <v>253</v>
      </c>
      <c r="N15" s="38">
        <f t="shared" si="5"/>
        <v>302</v>
      </c>
      <c r="O15" s="38">
        <f t="shared" si="5"/>
        <v>402</v>
      </c>
      <c r="P15" s="38">
        <f t="shared" si="5"/>
        <v>326</v>
      </c>
      <c r="Q15" s="38">
        <f t="shared" si="5"/>
        <v>380</v>
      </c>
      <c r="R15" s="38">
        <f t="shared" si="5"/>
        <v>567</v>
      </c>
      <c r="S15" s="81">
        <f t="shared" si="1"/>
        <v>0.4921052631578948</v>
      </c>
    </row>
    <row r="16" spans="1:19" s="10" customFormat="1" ht="12" customHeight="1">
      <c r="A16" s="78" t="s">
        <v>15</v>
      </c>
      <c r="B16" s="34" t="s">
        <v>16</v>
      </c>
      <c r="C16" s="2">
        <f>98+167</f>
        <v>265</v>
      </c>
      <c r="D16" s="2">
        <f>205+84</f>
        <v>289</v>
      </c>
      <c r="E16" s="2">
        <v>278</v>
      </c>
      <c r="F16" s="3">
        <v>358</v>
      </c>
      <c r="G16" s="2">
        <v>397</v>
      </c>
      <c r="H16" s="4">
        <v>474</v>
      </c>
      <c r="I16" s="19">
        <f>365+179</f>
        <v>544</v>
      </c>
      <c r="J16" s="56">
        <f t="shared" si="0"/>
        <v>0.14767932489451474</v>
      </c>
      <c r="K16" s="6"/>
      <c r="L16" s="2">
        <v>52</v>
      </c>
      <c r="M16" s="2">
        <v>60</v>
      </c>
      <c r="N16" s="3">
        <v>79</v>
      </c>
      <c r="O16" s="7">
        <v>126</v>
      </c>
      <c r="P16" s="1">
        <v>100</v>
      </c>
      <c r="Q16" s="8">
        <v>122</v>
      </c>
      <c r="R16" s="9">
        <f>118+15</f>
        <v>133</v>
      </c>
      <c r="S16" s="79">
        <f t="shared" si="1"/>
        <v>0.0901639344262295</v>
      </c>
    </row>
    <row r="17" spans="1:19" s="10" customFormat="1" ht="12" customHeight="1">
      <c r="A17" s="78" t="s">
        <v>15</v>
      </c>
      <c r="B17" s="34" t="s">
        <v>17</v>
      </c>
      <c r="C17" s="2">
        <f>73+233</f>
        <v>306</v>
      </c>
      <c r="D17" s="2">
        <f>183+111</f>
        <v>294</v>
      </c>
      <c r="E17" s="2">
        <v>297</v>
      </c>
      <c r="F17" s="3">
        <v>303</v>
      </c>
      <c r="G17" s="2">
        <v>337</v>
      </c>
      <c r="H17" s="4">
        <v>377</v>
      </c>
      <c r="I17" s="19">
        <f>111+288</f>
        <v>399</v>
      </c>
      <c r="J17" s="56">
        <f t="shared" si="0"/>
        <v>0.05835543766578244</v>
      </c>
      <c r="K17" s="6"/>
      <c r="L17" s="2">
        <v>64</v>
      </c>
      <c r="M17" s="2">
        <v>50</v>
      </c>
      <c r="N17" s="3">
        <v>67</v>
      </c>
      <c r="O17" s="7">
        <v>128</v>
      </c>
      <c r="P17" s="1">
        <v>140</v>
      </c>
      <c r="Q17" s="8">
        <v>144</v>
      </c>
      <c r="R17" s="9">
        <f>50+92</f>
        <v>142</v>
      </c>
      <c r="S17" s="79">
        <f t="shared" si="1"/>
        <v>-0.01388888888888884</v>
      </c>
    </row>
    <row r="18" spans="1:19" s="10" customFormat="1" ht="12" customHeight="1">
      <c r="A18" s="78" t="s">
        <v>19</v>
      </c>
      <c r="B18" s="34" t="s">
        <v>20</v>
      </c>
      <c r="C18" s="2">
        <f>113+169</f>
        <v>282</v>
      </c>
      <c r="D18" s="2">
        <f>192+68</f>
        <v>260</v>
      </c>
      <c r="E18" s="2">
        <v>311</v>
      </c>
      <c r="F18" s="3">
        <v>307</v>
      </c>
      <c r="G18" s="2">
        <v>313</v>
      </c>
      <c r="H18" s="4">
        <v>352</v>
      </c>
      <c r="I18" s="19">
        <v>346</v>
      </c>
      <c r="J18" s="56">
        <f t="shared" si="0"/>
        <v>-0.017045454545454586</v>
      </c>
      <c r="K18" s="6"/>
      <c r="L18" s="2">
        <v>87</v>
      </c>
      <c r="M18" s="2">
        <v>89</v>
      </c>
      <c r="N18" s="3">
        <v>82</v>
      </c>
      <c r="O18" s="7">
        <v>112</v>
      </c>
      <c r="P18" s="1">
        <v>87</v>
      </c>
      <c r="Q18" s="8">
        <v>106</v>
      </c>
      <c r="R18" s="9">
        <v>83</v>
      </c>
      <c r="S18" s="79">
        <f t="shared" si="1"/>
        <v>-0.21698113207547165</v>
      </c>
    </row>
    <row r="19" spans="1:19" s="10" customFormat="1" ht="12" customHeight="1">
      <c r="A19" s="78" t="s">
        <v>8</v>
      </c>
      <c r="B19" s="34" t="s">
        <v>9</v>
      </c>
      <c r="C19" s="2">
        <f>41+58</f>
        <v>99</v>
      </c>
      <c r="D19" s="2">
        <f>72+25</f>
        <v>97</v>
      </c>
      <c r="E19" s="2">
        <v>91</v>
      </c>
      <c r="F19" s="3">
        <f>93+8</f>
        <v>101</v>
      </c>
      <c r="G19" s="2">
        <f>77+13</f>
        <v>90</v>
      </c>
      <c r="H19" s="4">
        <v>90</v>
      </c>
      <c r="I19" s="19">
        <v>262</v>
      </c>
      <c r="J19" s="56">
        <f t="shared" si="0"/>
        <v>1.911111111111111</v>
      </c>
      <c r="K19" s="6"/>
      <c r="L19" s="2">
        <v>19</v>
      </c>
      <c r="M19" s="2">
        <v>19</v>
      </c>
      <c r="N19" s="3">
        <v>23</v>
      </c>
      <c r="O19" s="7">
        <f>31+5</f>
        <v>36</v>
      </c>
      <c r="P19" s="1">
        <v>14</v>
      </c>
      <c r="Q19" s="8">
        <v>15</v>
      </c>
      <c r="R19" s="9">
        <v>155</v>
      </c>
      <c r="S19" s="79">
        <f t="shared" si="1"/>
        <v>9.333333333333334</v>
      </c>
    </row>
    <row r="20" spans="1:19" s="10" customFormat="1" ht="12" customHeight="1">
      <c r="A20" s="240" t="s">
        <v>39</v>
      </c>
      <c r="B20" s="241"/>
      <c r="C20" s="42">
        <f>SUM(C16:C19)</f>
        <v>952</v>
      </c>
      <c r="D20" s="42">
        <f aca="true" t="shared" si="6" ref="D20:I20">SUM(D16:D19)</f>
        <v>940</v>
      </c>
      <c r="E20" s="42">
        <f t="shared" si="6"/>
        <v>977</v>
      </c>
      <c r="F20" s="42">
        <f t="shared" si="6"/>
        <v>1069</v>
      </c>
      <c r="G20" s="42">
        <f t="shared" si="6"/>
        <v>1137</v>
      </c>
      <c r="H20" s="42">
        <f t="shared" si="6"/>
        <v>1293</v>
      </c>
      <c r="I20" s="52">
        <f t="shared" si="6"/>
        <v>1551</v>
      </c>
      <c r="J20" s="59">
        <f t="shared" si="0"/>
        <v>0.19953596287703013</v>
      </c>
      <c r="K20" s="41"/>
      <c r="L20" s="42">
        <f>SUM(L16:L19)</f>
        <v>222</v>
      </c>
      <c r="M20" s="42">
        <f aca="true" t="shared" si="7" ref="M20:R20">SUM(M16:M19)</f>
        <v>218</v>
      </c>
      <c r="N20" s="42">
        <f t="shared" si="7"/>
        <v>251</v>
      </c>
      <c r="O20" s="42">
        <f t="shared" si="7"/>
        <v>402</v>
      </c>
      <c r="P20" s="42">
        <f t="shared" si="7"/>
        <v>341</v>
      </c>
      <c r="Q20" s="42">
        <f t="shared" si="7"/>
        <v>387</v>
      </c>
      <c r="R20" s="42">
        <f t="shared" si="7"/>
        <v>513</v>
      </c>
      <c r="S20" s="82">
        <f t="shared" si="1"/>
        <v>0.3255813953488371</v>
      </c>
    </row>
    <row r="21" spans="1:19" s="18" customFormat="1" ht="12" customHeight="1">
      <c r="A21" s="78" t="s">
        <v>26</v>
      </c>
      <c r="B21" s="37" t="s">
        <v>27</v>
      </c>
      <c r="C21" s="2">
        <f>176+306</f>
        <v>482</v>
      </c>
      <c r="D21" s="2">
        <f>301+146</f>
        <v>447</v>
      </c>
      <c r="E21" s="2">
        <v>428</v>
      </c>
      <c r="F21" s="3">
        <v>375</v>
      </c>
      <c r="G21" s="2">
        <v>388</v>
      </c>
      <c r="H21" s="2">
        <v>443</v>
      </c>
      <c r="I21" s="99">
        <v>558</v>
      </c>
      <c r="J21" s="56">
        <f t="shared" si="0"/>
        <v>0.2595936794582392</v>
      </c>
      <c r="K21" s="6"/>
      <c r="L21" s="2">
        <v>102</v>
      </c>
      <c r="M21" s="2">
        <v>86</v>
      </c>
      <c r="N21" s="3">
        <v>118</v>
      </c>
      <c r="O21" s="7">
        <v>110</v>
      </c>
      <c r="P21" s="1">
        <v>136</v>
      </c>
      <c r="Q21" s="1">
        <v>162</v>
      </c>
      <c r="R21" s="36">
        <v>180</v>
      </c>
      <c r="S21" s="79">
        <f t="shared" si="1"/>
        <v>0.11111111111111116</v>
      </c>
    </row>
    <row r="22" spans="1:19" s="18" customFormat="1" ht="12" customHeight="1">
      <c r="A22" s="78" t="s">
        <v>29</v>
      </c>
      <c r="B22" s="37" t="s">
        <v>27</v>
      </c>
      <c r="C22" s="2">
        <f>151+144</f>
        <v>295</v>
      </c>
      <c r="D22" s="2">
        <f>299+58</f>
        <v>357</v>
      </c>
      <c r="E22" s="2">
        <v>357</v>
      </c>
      <c r="F22" s="3">
        <v>366</v>
      </c>
      <c r="G22" s="2">
        <v>323</v>
      </c>
      <c r="H22" s="2">
        <v>359</v>
      </c>
      <c r="I22" s="99">
        <v>382</v>
      </c>
      <c r="J22" s="56">
        <f t="shared" si="0"/>
        <v>0.06406685236768794</v>
      </c>
      <c r="K22" s="6"/>
      <c r="L22" s="2">
        <v>95</v>
      </c>
      <c r="M22" s="2">
        <v>115</v>
      </c>
      <c r="N22" s="3">
        <v>73</v>
      </c>
      <c r="O22" s="7">
        <v>90</v>
      </c>
      <c r="P22" s="1">
        <v>98</v>
      </c>
      <c r="Q22" s="1">
        <v>85</v>
      </c>
      <c r="R22" s="36">
        <f>87+2</f>
        <v>89</v>
      </c>
      <c r="S22" s="79">
        <f t="shared" si="1"/>
        <v>0.04705882352941182</v>
      </c>
    </row>
    <row r="23" spans="1:19" s="18" customFormat="1" ht="12" customHeight="1">
      <c r="A23" s="242" t="s">
        <v>40</v>
      </c>
      <c r="B23" s="243"/>
      <c r="C23" s="43">
        <f>SUM(C21:C22)</f>
        <v>777</v>
      </c>
      <c r="D23" s="43">
        <f aca="true" t="shared" si="8" ref="D23:I23">SUM(D21:D22)</f>
        <v>804</v>
      </c>
      <c r="E23" s="43">
        <f t="shared" si="8"/>
        <v>785</v>
      </c>
      <c r="F23" s="43">
        <f t="shared" si="8"/>
        <v>741</v>
      </c>
      <c r="G23" s="43">
        <f t="shared" si="8"/>
        <v>711</v>
      </c>
      <c r="H23" s="43">
        <f t="shared" si="8"/>
        <v>802</v>
      </c>
      <c r="I23" s="43">
        <f t="shared" si="8"/>
        <v>940</v>
      </c>
      <c r="J23" s="60">
        <f t="shared" si="0"/>
        <v>0.17206982543640903</v>
      </c>
      <c r="K23" s="41"/>
      <c r="L23" s="43">
        <f>SUM(L21:L22)</f>
        <v>197</v>
      </c>
      <c r="M23" s="43">
        <f aca="true" t="shared" si="9" ref="M23:R23">SUM(M21:M22)</f>
        <v>201</v>
      </c>
      <c r="N23" s="43">
        <f t="shared" si="9"/>
        <v>191</v>
      </c>
      <c r="O23" s="43">
        <f t="shared" si="9"/>
        <v>200</v>
      </c>
      <c r="P23" s="43">
        <f t="shared" si="9"/>
        <v>234</v>
      </c>
      <c r="Q23" s="43">
        <f t="shared" si="9"/>
        <v>247</v>
      </c>
      <c r="R23" s="43">
        <f t="shared" si="9"/>
        <v>269</v>
      </c>
      <c r="S23" s="83">
        <f t="shared" si="1"/>
        <v>0.08906882591093113</v>
      </c>
    </row>
    <row r="24" spans="1:19" s="10" customFormat="1" ht="12" customHeight="1">
      <c r="A24" s="78" t="s">
        <v>5</v>
      </c>
      <c r="B24" s="88" t="s">
        <v>6</v>
      </c>
      <c r="C24" s="2">
        <f>82+140</f>
        <v>222</v>
      </c>
      <c r="D24" s="2">
        <f>122+75</f>
        <v>197</v>
      </c>
      <c r="E24" s="2">
        <v>208</v>
      </c>
      <c r="F24" s="2">
        <f>208</f>
        <v>208</v>
      </c>
      <c r="G24" s="2">
        <v>212</v>
      </c>
      <c r="H24" s="4">
        <v>219</v>
      </c>
      <c r="I24" s="5">
        <v>248</v>
      </c>
      <c r="J24" s="56">
        <f t="shared" si="0"/>
        <v>0.13242009132420085</v>
      </c>
      <c r="K24" s="6"/>
      <c r="L24" s="2">
        <v>41</v>
      </c>
      <c r="M24" s="2">
        <v>42</v>
      </c>
      <c r="N24" s="3">
        <v>57</v>
      </c>
      <c r="O24" s="7">
        <f>65</f>
        <v>65</v>
      </c>
      <c r="P24" s="1">
        <v>68</v>
      </c>
      <c r="Q24" s="8">
        <v>58</v>
      </c>
      <c r="R24" s="9">
        <v>68</v>
      </c>
      <c r="S24" s="79">
        <f t="shared" si="1"/>
        <v>0.17241379310344818</v>
      </c>
    </row>
    <row r="25" spans="1:19" s="10" customFormat="1" ht="12" customHeight="1">
      <c r="A25" s="78" t="s">
        <v>10</v>
      </c>
      <c r="B25" s="88" t="s">
        <v>11</v>
      </c>
      <c r="C25" s="2">
        <f>32+21</f>
        <v>53</v>
      </c>
      <c r="D25" s="2">
        <f>74+16</f>
        <v>90</v>
      </c>
      <c r="E25" s="2">
        <v>83</v>
      </c>
      <c r="F25" s="2">
        <v>79</v>
      </c>
      <c r="G25" s="2">
        <v>80</v>
      </c>
      <c r="H25" s="4">
        <v>103</v>
      </c>
      <c r="I25" s="5">
        <v>161</v>
      </c>
      <c r="J25" s="56">
        <f t="shared" si="0"/>
        <v>0.5631067961165048</v>
      </c>
      <c r="K25" s="6"/>
      <c r="L25" s="2">
        <v>15</v>
      </c>
      <c r="M25" s="2">
        <v>39</v>
      </c>
      <c r="N25" s="3">
        <v>22</v>
      </c>
      <c r="O25" s="7">
        <v>21</v>
      </c>
      <c r="P25" s="1">
        <v>28</v>
      </c>
      <c r="Q25" s="8">
        <v>34</v>
      </c>
      <c r="R25" s="9">
        <v>56</v>
      </c>
      <c r="S25" s="79">
        <f t="shared" si="1"/>
        <v>0.6470588235294117</v>
      </c>
    </row>
    <row r="26" spans="1:19" s="10" customFormat="1" ht="12" customHeight="1">
      <c r="A26" s="226" t="s">
        <v>42</v>
      </c>
      <c r="B26" s="227"/>
      <c r="C26" s="44">
        <f>SUM(C24:C25)</f>
        <v>275</v>
      </c>
      <c r="D26" s="44">
        <f aca="true" t="shared" si="10" ref="D26:I26">SUM(D24:D25)</f>
        <v>287</v>
      </c>
      <c r="E26" s="44">
        <f t="shared" si="10"/>
        <v>291</v>
      </c>
      <c r="F26" s="44">
        <f t="shared" si="10"/>
        <v>287</v>
      </c>
      <c r="G26" s="44">
        <f t="shared" si="10"/>
        <v>292</v>
      </c>
      <c r="H26" s="44">
        <f t="shared" si="10"/>
        <v>322</v>
      </c>
      <c r="I26" s="44">
        <f t="shared" si="10"/>
        <v>409</v>
      </c>
      <c r="J26" s="61">
        <f t="shared" si="0"/>
        <v>0.2701863354037266</v>
      </c>
      <c r="K26" s="41"/>
      <c r="L26" s="44">
        <f>SUM(L24:L25)</f>
        <v>56</v>
      </c>
      <c r="M26" s="44">
        <f aca="true" t="shared" si="11" ref="M26:R26">SUM(M24:M25)</f>
        <v>81</v>
      </c>
      <c r="N26" s="44">
        <f t="shared" si="11"/>
        <v>79</v>
      </c>
      <c r="O26" s="44">
        <f t="shared" si="11"/>
        <v>86</v>
      </c>
      <c r="P26" s="44">
        <f t="shared" si="11"/>
        <v>96</v>
      </c>
      <c r="Q26" s="44">
        <f t="shared" si="11"/>
        <v>92</v>
      </c>
      <c r="R26" s="44">
        <f t="shared" si="11"/>
        <v>124</v>
      </c>
      <c r="S26" s="84">
        <f t="shared" si="1"/>
        <v>0.34782608695652173</v>
      </c>
    </row>
    <row r="27" spans="1:19" s="10" customFormat="1" ht="12" customHeight="1">
      <c r="A27" s="78" t="s">
        <v>24</v>
      </c>
      <c r="B27" s="118" t="s">
        <v>25</v>
      </c>
      <c r="C27" s="2">
        <f>154+215</f>
        <v>369</v>
      </c>
      <c r="D27" s="2">
        <f>263+108</f>
        <v>371</v>
      </c>
      <c r="E27" s="2">
        <v>466</v>
      </c>
      <c r="F27" s="2">
        <f>449+30+4</f>
        <v>483</v>
      </c>
      <c r="G27" s="2">
        <f>546+30</f>
        <v>576</v>
      </c>
      <c r="H27" s="2">
        <f>625+32</f>
        <v>657</v>
      </c>
      <c r="I27" s="35">
        <f>708+35</f>
        <v>743</v>
      </c>
      <c r="J27" s="56">
        <f t="shared" si="0"/>
        <v>0.13089802130898032</v>
      </c>
      <c r="K27" s="6"/>
      <c r="L27" s="2">
        <v>84</v>
      </c>
      <c r="M27" s="2">
        <v>111</v>
      </c>
      <c r="N27" s="2">
        <v>141</v>
      </c>
      <c r="O27" s="1">
        <v>125</v>
      </c>
      <c r="P27" s="1">
        <v>170</v>
      </c>
      <c r="Q27" s="1">
        <v>162</v>
      </c>
      <c r="R27" s="36">
        <v>203</v>
      </c>
      <c r="S27" s="79">
        <f t="shared" si="1"/>
        <v>0.25308641975308643</v>
      </c>
    </row>
    <row r="28" spans="1:19" s="18" customFormat="1" ht="12" customHeight="1" thickBot="1">
      <c r="A28" s="228" t="s">
        <v>41</v>
      </c>
      <c r="B28" s="229"/>
      <c r="C28" s="119">
        <f>SUM(C27)</f>
        <v>369</v>
      </c>
      <c r="D28" s="119">
        <f aca="true" t="shared" si="12" ref="D28:I28">SUM(D27)</f>
        <v>371</v>
      </c>
      <c r="E28" s="119">
        <f t="shared" si="12"/>
        <v>466</v>
      </c>
      <c r="F28" s="119">
        <f t="shared" si="12"/>
        <v>483</v>
      </c>
      <c r="G28" s="119">
        <f t="shared" si="12"/>
        <v>576</v>
      </c>
      <c r="H28" s="119">
        <f t="shared" si="12"/>
        <v>657</v>
      </c>
      <c r="I28" s="119">
        <f t="shared" si="12"/>
        <v>743</v>
      </c>
      <c r="J28" s="65">
        <f t="shared" si="0"/>
        <v>0.13089802130898032</v>
      </c>
      <c r="K28" s="41"/>
      <c r="L28" s="119">
        <f>SUM(L27)</f>
        <v>84</v>
      </c>
      <c r="M28" s="119">
        <f aca="true" t="shared" si="13" ref="M28:R28">SUM(M27)</f>
        <v>111</v>
      </c>
      <c r="N28" s="119">
        <f t="shared" si="13"/>
        <v>141</v>
      </c>
      <c r="O28" s="119">
        <f t="shared" si="13"/>
        <v>125</v>
      </c>
      <c r="P28" s="119">
        <f t="shared" si="13"/>
        <v>170</v>
      </c>
      <c r="Q28" s="119">
        <f t="shared" si="13"/>
        <v>162</v>
      </c>
      <c r="R28" s="119">
        <f t="shared" si="13"/>
        <v>203</v>
      </c>
      <c r="S28" s="86">
        <f t="shared" si="1"/>
        <v>0.25308641975308643</v>
      </c>
    </row>
    <row r="29" spans="1:19" s="46" customFormat="1" ht="17.25" customHeight="1">
      <c r="A29" s="149" t="s">
        <v>43</v>
      </c>
      <c r="B29" s="96"/>
      <c r="C29" s="120">
        <f>SUM(C10)+C15+C20+C23+C26+C28</f>
        <v>5035</v>
      </c>
      <c r="D29" s="120">
        <f aca="true" t="shared" si="14" ref="D29:I29">SUM(D10)+D15+D20+D23+D26+D28</f>
        <v>5026</v>
      </c>
      <c r="E29" s="120">
        <f t="shared" si="14"/>
        <v>5202</v>
      </c>
      <c r="F29" s="120">
        <f t="shared" si="14"/>
        <v>5522</v>
      </c>
      <c r="G29" s="120">
        <f t="shared" si="14"/>
        <v>5874</v>
      </c>
      <c r="H29" s="120">
        <f t="shared" si="14"/>
        <v>6605</v>
      </c>
      <c r="I29" s="120">
        <f t="shared" si="14"/>
        <v>7621</v>
      </c>
      <c r="J29" s="137">
        <f t="shared" si="0"/>
        <v>0.15382286146858437</v>
      </c>
      <c r="K29" s="121"/>
      <c r="L29" s="120">
        <f>SUM(L10)+L15+L20+L23+L26+L28</f>
        <v>1108</v>
      </c>
      <c r="M29" s="120">
        <f aca="true" t="shared" si="15" ref="M29:R29">SUM(M10)+M15+M20+M23+M26+M28</f>
        <v>1307</v>
      </c>
      <c r="N29" s="120">
        <f t="shared" si="15"/>
        <v>1321</v>
      </c>
      <c r="O29" s="120">
        <f t="shared" si="15"/>
        <v>1833</v>
      </c>
      <c r="P29" s="120">
        <f t="shared" si="15"/>
        <v>1765</v>
      </c>
      <c r="Q29" s="120">
        <f t="shared" si="15"/>
        <v>1915</v>
      </c>
      <c r="R29" s="120">
        <f t="shared" si="15"/>
        <v>2306</v>
      </c>
      <c r="S29" s="138">
        <f t="shared" si="1"/>
        <v>0.20417754569190594</v>
      </c>
    </row>
    <row r="30" spans="1:19" s="39" customFormat="1" ht="16.5" customHeight="1" thickBot="1">
      <c r="A30" s="150" t="s">
        <v>48</v>
      </c>
      <c r="B30" s="97"/>
      <c r="C30" s="114"/>
      <c r="D30" s="114"/>
      <c r="E30" s="114"/>
      <c r="F30" s="114"/>
      <c r="G30" s="115"/>
      <c r="H30" s="116"/>
      <c r="I30" s="116"/>
      <c r="J30" s="139"/>
      <c r="K30" s="112"/>
      <c r="L30" s="117">
        <f>L29/C29</f>
        <v>0.22005958291956307</v>
      </c>
      <c r="M30" s="117">
        <f aca="true" t="shared" si="16" ref="M30:R30">M29/D29</f>
        <v>0.26004775169120575</v>
      </c>
      <c r="N30" s="117">
        <f t="shared" si="16"/>
        <v>0.25394079200307573</v>
      </c>
      <c r="O30" s="117">
        <f t="shared" si="16"/>
        <v>0.33194494748279607</v>
      </c>
      <c r="P30" s="117">
        <f t="shared" si="16"/>
        <v>0.30047667688117125</v>
      </c>
      <c r="Q30" s="117">
        <f t="shared" si="16"/>
        <v>0.28993186979560936</v>
      </c>
      <c r="R30" s="117">
        <f t="shared" si="16"/>
        <v>0.3025849626033329</v>
      </c>
      <c r="S30" s="140"/>
    </row>
    <row r="31" spans="1:19" s="10" customFormat="1" ht="12.75">
      <c r="A31" s="45"/>
      <c r="B31" s="20"/>
      <c r="C31" s="21"/>
      <c r="D31" s="21"/>
      <c r="E31" s="21"/>
      <c r="F31" s="21"/>
      <c r="G31" s="22"/>
      <c r="H31" s="23"/>
      <c r="I31" s="24"/>
      <c r="J31" s="6"/>
      <c r="K31" s="6"/>
      <c r="L31" s="25"/>
      <c r="M31" s="25"/>
      <c r="N31" s="25"/>
      <c r="O31" s="25"/>
      <c r="P31" s="25"/>
      <c r="Q31" s="25"/>
      <c r="R31" s="25"/>
      <c r="S31" s="6"/>
    </row>
    <row r="32" spans="1:19" s="10" customFormat="1" ht="12.75">
      <c r="A32" s="45"/>
      <c r="B32" s="20"/>
      <c r="C32" s="21"/>
      <c r="D32" s="21"/>
      <c r="E32" s="21"/>
      <c r="F32" s="21"/>
      <c r="G32" s="22"/>
      <c r="H32" s="23"/>
      <c r="I32" s="24"/>
      <c r="J32" s="6"/>
      <c r="K32" s="6"/>
      <c r="L32" s="25"/>
      <c r="M32" s="25"/>
      <c r="N32" s="25"/>
      <c r="O32" s="25"/>
      <c r="P32" s="25"/>
      <c r="Q32" s="25"/>
      <c r="R32" s="25"/>
      <c r="S32" s="6"/>
    </row>
    <row r="33" ht="18" customHeight="1" thickBot="1">
      <c r="A33" s="47" t="s">
        <v>45</v>
      </c>
    </row>
    <row r="34" spans="1:19" s="10" customFormat="1" ht="12.75" customHeight="1">
      <c r="A34" s="66" t="s">
        <v>0</v>
      </c>
      <c r="B34" s="67" t="s">
        <v>1</v>
      </c>
      <c r="C34" s="68">
        <f>51+54</f>
        <v>105</v>
      </c>
      <c r="D34" s="68">
        <f>83+41</f>
        <v>124</v>
      </c>
      <c r="E34" s="68">
        <v>130</v>
      </c>
      <c r="F34" s="69">
        <v>149</v>
      </c>
      <c r="G34" s="68">
        <v>150</v>
      </c>
      <c r="H34" s="70">
        <v>172</v>
      </c>
      <c r="I34" s="71">
        <v>191</v>
      </c>
      <c r="J34" s="72">
        <f aca="true" t="shared" si="17" ref="J34:J52">I34/H34-1</f>
        <v>0.11046511627906974</v>
      </c>
      <c r="K34" s="73"/>
      <c r="L34" s="68">
        <v>21</v>
      </c>
      <c r="M34" s="68">
        <v>43</v>
      </c>
      <c r="N34" s="69">
        <v>52</v>
      </c>
      <c r="O34" s="74">
        <v>56</v>
      </c>
      <c r="P34" s="67">
        <v>50</v>
      </c>
      <c r="Q34" s="75">
        <v>67</v>
      </c>
      <c r="R34" s="76">
        <v>70</v>
      </c>
      <c r="S34" s="77">
        <f>R34/Q34-1</f>
        <v>0.04477611940298498</v>
      </c>
    </row>
    <row r="35" spans="1:23" s="39" customFormat="1" ht="12.75" customHeight="1">
      <c r="A35" s="78" t="s">
        <v>18</v>
      </c>
      <c r="B35" s="1" t="s">
        <v>1</v>
      </c>
      <c r="C35" s="2">
        <f>54+57</f>
        <v>111</v>
      </c>
      <c r="D35" s="2">
        <f>101+31</f>
        <v>132</v>
      </c>
      <c r="E35" s="2">
        <v>124</v>
      </c>
      <c r="F35" s="3">
        <v>137</v>
      </c>
      <c r="G35" s="2">
        <v>142</v>
      </c>
      <c r="H35" s="2">
        <v>164</v>
      </c>
      <c r="I35" s="99">
        <v>153</v>
      </c>
      <c r="J35" s="56">
        <f t="shared" si="17"/>
        <v>-0.06707317073170727</v>
      </c>
      <c r="K35" s="6"/>
      <c r="L35" s="2">
        <v>43</v>
      </c>
      <c r="M35" s="2">
        <v>48</v>
      </c>
      <c r="N35" s="3">
        <v>33</v>
      </c>
      <c r="O35" s="7">
        <v>52</v>
      </c>
      <c r="P35" s="1">
        <v>44</v>
      </c>
      <c r="Q35" s="1">
        <v>54</v>
      </c>
      <c r="R35" s="225">
        <v>49</v>
      </c>
      <c r="S35" s="79">
        <f aca="true" t="shared" si="18" ref="S35:S52">R35/Q35-1</f>
        <v>-0.09259259259259256</v>
      </c>
      <c r="T35" s="10"/>
      <c r="U35" s="10"/>
      <c r="V35" s="10"/>
      <c r="W35" s="10"/>
    </row>
    <row r="36" spans="1:19" s="10" customFormat="1" ht="12.75" customHeight="1">
      <c r="A36" s="78" t="s">
        <v>21</v>
      </c>
      <c r="B36" s="1" t="s">
        <v>22</v>
      </c>
      <c r="C36" s="2">
        <f>38+50</f>
        <v>88</v>
      </c>
      <c r="D36" s="2">
        <f>77+28</f>
        <v>105</v>
      </c>
      <c r="E36" s="2">
        <v>88</v>
      </c>
      <c r="F36" s="3">
        <v>95</v>
      </c>
      <c r="G36" s="2">
        <v>101</v>
      </c>
      <c r="H36" s="4">
        <v>111</v>
      </c>
      <c r="I36" s="19">
        <v>122</v>
      </c>
      <c r="J36" s="56">
        <f t="shared" si="17"/>
        <v>0.0990990990990992</v>
      </c>
      <c r="K36" s="6"/>
      <c r="L36" s="2">
        <v>36</v>
      </c>
      <c r="M36" s="2">
        <v>51</v>
      </c>
      <c r="N36" s="3">
        <v>29</v>
      </c>
      <c r="O36" s="7">
        <v>33</v>
      </c>
      <c r="P36" s="1">
        <v>38</v>
      </c>
      <c r="Q36" s="8">
        <v>50</v>
      </c>
      <c r="R36" s="48">
        <v>40</v>
      </c>
      <c r="S36" s="79">
        <f t="shared" si="18"/>
        <v>-0.19999999999999996</v>
      </c>
    </row>
    <row r="37" spans="1:19" s="10" customFormat="1" ht="12.75" customHeight="1">
      <c r="A37" s="78" t="s">
        <v>21</v>
      </c>
      <c r="B37" s="1" t="s">
        <v>23</v>
      </c>
      <c r="C37" s="2">
        <f>69+102</f>
        <v>171</v>
      </c>
      <c r="D37" s="2">
        <f>142+52</f>
        <v>194</v>
      </c>
      <c r="E37" s="2">
        <v>190</v>
      </c>
      <c r="F37" s="3">
        <v>193</v>
      </c>
      <c r="G37" s="2">
        <v>201</v>
      </c>
      <c r="H37" s="4">
        <v>200</v>
      </c>
      <c r="I37" s="19">
        <v>194</v>
      </c>
      <c r="J37" s="56">
        <f t="shared" si="17"/>
        <v>-0.030000000000000027</v>
      </c>
      <c r="K37" s="6"/>
      <c r="L37" s="2">
        <v>57</v>
      </c>
      <c r="M37" s="2">
        <v>77</v>
      </c>
      <c r="N37" s="3">
        <v>24</v>
      </c>
      <c r="O37" s="7">
        <v>78</v>
      </c>
      <c r="P37" s="1">
        <v>85</v>
      </c>
      <c r="Q37" s="8">
        <v>74</v>
      </c>
      <c r="R37" s="48">
        <v>61</v>
      </c>
      <c r="S37" s="79">
        <f t="shared" si="18"/>
        <v>-0.17567567567567566</v>
      </c>
    </row>
    <row r="38" spans="1:19" s="39" customFormat="1" ht="12" customHeight="1">
      <c r="A38" s="236" t="s">
        <v>37</v>
      </c>
      <c r="B38" s="237"/>
      <c r="C38" s="40">
        <f>SUM(C34:C37)</f>
        <v>475</v>
      </c>
      <c r="D38" s="40">
        <f aca="true" t="shared" si="19" ref="D38:I38">SUM(D34:D37)</f>
        <v>555</v>
      </c>
      <c r="E38" s="40">
        <f t="shared" si="19"/>
        <v>532</v>
      </c>
      <c r="F38" s="40">
        <f t="shared" si="19"/>
        <v>574</v>
      </c>
      <c r="G38" s="40">
        <f t="shared" si="19"/>
        <v>594</v>
      </c>
      <c r="H38" s="40">
        <f t="shared" si="19"/>
        <v>647</v>
      </c>
      <c r="I38" s="49">
        <f t="shared" si="19"/>
        <v>660</v>
      </c>
      <c r="J38" s="57">
        <f t="shared" si="17"/>
        <v>0.020092735703245657</v>
      </c>
      <c r="K38" s="41"/>
      <c r="L38" s="40">
        <f aca="true" t="shared" si="20" ref="L38:R38">SUM(L34:L37)</f>
        <v>157</v>
      </c>
      <c r="M38" s="40">
        <f t="shared" si="20"/>
        <v>219</v>
      </c>
      <c r="N38" s="40">
        <f t="shared" si="20"/>
        <v>138</v>
      </c>
      <c r="O38" s="40">
        <f t="shared" si="20"/>
        <v>219</v>
      </c>
      <c r="P38" s="40">
        <f t="shared" si="20"/>
        <v>217</v>
      </c>
      <c r="Q38" s="40">
        <f t="shared" si="20"/>
        <v>245</v>
      </c>
      <c r="R38" s="49">
        <f t="shared" si="20"/>
        <v>220</v>
      </c>
      <c r="S38" s="80">
        <f t="shared" si="18"/>
        <v>-0.10204081632653061</v>
      </c>
    </row>
    <row r="39" spans="1:19" s="10" customFormat="1" ht="12.75" customHeight="1">
      <c r="A39" s="78" t="s">
        <v>12</v>
      </c>
      <c r="B39" s="1" t="s">
        <v>14</v>
      </c>
      <c r="C39" s="2">
        <f>33+29</f>
        <v>62</v>
      </c>
      <c r="D39" s="2">
        <f>57+15</f>
        <v>72</v>
      </c>
      <c r="E39" s="2">
        <v>72</v>
      </c>
      <c r="F39" s="3">
        <v>68</v>
      </c>
      <c r="G39" s="2">
        <v>106</v>
      </c>
      <c r="H39" s="4">
        <v>124</v>
      </c>
      <c r="I39" s="63">
        <v>142</v>
      </c>
      <c r="J39" s="56">
        <f t="shared" si="17"/>
        <v>0.14516129032258074</v>
      </c>
      <c r="K39" s="6"/>
      <c r="L39" s="2">
        <v>23</v>
      </c>
      <c r="M39" s="2">
        <v>24</v>
      </c>
      <c r="N39" s="3">
        <v>31</v>
      </c>
      <c r="O39" s="7">
        <v>26</v>
      </c>
      <c r="P39" s="1">
        <v>40</v>
      </c>
      <c r="Q39" s="8">
        <v>40</v>
      </c>
      <c r="R39" s="50">
        <v>39</v>
      </c>
      <c r="S39" s="79">
        <f t="shared" si="18"/>
        <v>-0.025000000000000022</v>
      </c>
    </row>
    <row r="40" spans="1:23" s="39" customFormat="1" ht="12.75" customHeight="1">
      <c r="A40" s="78" t="s">
        <v>3</v>
      </c>
      <c r="B40" s="1" t="s">
        <v>4</v>
      </c>
      <c r="C40" s="2">
        <v>141</v>
      </c>
      <c r="D40" s="2">
        <v>171</v>
      </c>
      <c r="E40" s="2">
        <v>215</v>
      </c>
      <c r="F40" s="3">
        <v>253</v>
      </c>
      <c r="G40" s="2">
        <v>272</v>
      </c>
      <c r="H40" s="2">
        <v>310</v>
      </c>
      <c r="I40" s="99">
        <v>289</v>
      </c>
      <c r="J40" s="56">
        <f t="shared" si="17"/>
        <v>-0.06774193548387097</v>
      </c>
      <c r="K40" s="6"/>
      <c r="L40" s="2">
        <v>42</v>
      </c>
      <c r="M40" s="2">
        <v>58</v>
      </c>
      <c r="N40" s="3">
        <v>84</v>
      </c>
      <c r="O40" s="7">
        <v>92</v>
      </c>
      <c r="P40" s="1">
        <v>74</v>
      </c>
      <c r="Q40" s="1">
        <v>107</v>
      </c>
      <c r="R40" s="225">
        <v>105</v>
      </c>
      <c r="S40" s="79">
        <f t="shared" si="18"/>
        <v>-0.01869158878504673</v>
      </c>
      <c r="T40" s="10"/>
      <c r="U40" s="10"/>
      <c r="V40" s="10"/>
      <c r="W40" s="10"/>
    </row>
    <row r="41" spans="1:19" s="39" customFormat="1" ht="12" customHeight="1">
      <c r="A41" s="238" t="s">
        <v>38</v>
      </c>
      <c r="B41" s="239"/>
      <c r="C41" s="38">
        <f>SUM(C39:C40)</f>
        <v>203</v>
      </c>
      <c r="D41" s="38">
        <f aca="true" t="shared" si="21" ref="D41:I41">SUM(D39:D40)</f>
        <v>243</v>
      </c>
      <c r="E41" s="38">
        <f t="shared" si="21"/>
        <v>287</v>
      </c>
      <c r="F41" s="38">
        <f t="shared" si="21"/>
        <v>321</v>
      </c>
      <c r="G41" s="38">
        <f t="shared" si="21"/>
        <v>378</v>
      </c>
      <c r="H41" s="38">
        <f t="shared" si="21"/>
        <v>434</v>
      </c>
      <c r="I41" s="51">
        <f t="shared" si="21"/>
        <v>431</v>
      </c>
      <c r="J41" s="58">
        <f t="shared" si="17"/>
        <v>-0.00691244239631339</v>
      </c>
      <c r="K41" s="41"/>
      <c r="L41" s="38">
        <f>SUM(L39:L40)</f>
        <v>65</v>
      </c>
      <c r="M41" s="38">
        <f aca="true" t="shared" si="22" ref="M41:R41">SUM(M39:M40)</f>
        <v>82</v>
      </c>
      <c r="N41" s="38">
        <f t="shared" si="22"/>
        <v>115</v>
      </c>
      <c r="O41" s="38">
        <f t="shared" si="22"/>
        <v>118</v>
      </c>
      <c r="P41" s="38">
        <f t="shared" si="22"/>
        <v>114</v>
      </c>
      <c r="Q41" s="38">
        <f t="shared" si="22"/>
        <v>147</v>
      </c>
      <c r="R41" s="51">
        <f t="shared" si="22"/>
        <v>144</v>
      </c>
      <c r="S41" s="81">
        <f t="shared" si="18"/>
        <v>-0.020408163265306145</v>
      </c>
    </row>
    <row r="42" spans="1:19" s="10" customFormat="1" ht="12.75" customHeight="1">
      <c r="A42" s="78" t="s">
        <v>15</v>
      </c>
      <c r="B42" s="1" t="s">
        <v>16</v>
      </c>
      <c r="C42" s="2">
        <f>30+48</f>
        <v>78</v>
      </c>
      <c r="D42" s="2">
        <f>61+23</f>
        <v>84</v>
      </c>
      <c r="E42" s="2">
        <v>137</v>
      </c>
      <c r="F42" s="3">
        <v>154</v>
      </c>
      <c r="G42" s="2">
        <v>191</v>
      </c>
      <c r="H42" s="4">
        <v>199</v>
      </c>
      <c r="I42" s="19">
        <f>154+71</f>
        <v>225</v>
      </c>
      <c r="J42" s="56">
        <f t="shared" si="17"/>
        <v>0.1306532663316582</v>
      </c>
      <c r="K42" s="6"/>
      <c r="L42" s="2">
        <v>20</v>
      </c>
      <c r="M42" s="2">
        <v>34</v>
      </c>
      <c r="N42" s="3">
        <v>52</v>
      </c>
      <c r="O42" s="7">
        <v>51</v>
      </c>
      <c r="P42" s="1">
        <v>69</v>
      </c>
      <c r="Q42" s="8">
        <v>57</v>
      </c>
      <c r="R42" s="48">
        <v>57</v>
      </c>
      <c r="S42" s="79">
        <f t="shared" si="18"/>
        <v>0</v>
      </c>
    </row>
    <row r="43" spans="1:19" s="10" customFormat="1" ht="12.75" customHeight="1">
      <c r="A43" s="78" t="s">
        <v>19</v>
      </c>
      <c r="B43" s="1" t="s">
        <v>20</v>
      </c>
      <c r="C43" s="2">
        <f>33+42</f>
        <v>75</v>
      </c>
      <c r="D43" s="2">
        <f>59+20</f>
        <v>79</v>
      </c>
      <c r="E43" s="2">
        <v>90</v>
      </c>
      <c r="F43" s="3">
        <v>88</v>
      </c>
      <c r="G43" s="2">
        <v>78</v>
      </c>
      <c r="H43" s="4">
        <v>100</v>
      </c>
      <c r="I43" s="19">
        <v>105</v>
      </c>
      <c r="J43" s="56">
        <f t="shared" si="17"/>
        <v>0.050000000000000044</v>
      </c>
      <c r="K43" s="6"/>
      <c r="L43" s="2">
        <v>23</v>
      </c>
      <c r="M43" s="2">
        <v>30</v>
      </c>
      <c r="N43" s="3">
        <v>37</v>
      </c>
      <c r="O43" s="7">
        <v>32</v>
      </c>
      <c r="P43" s="1">
        <v>28</v>
      </c>
      <c r="Q43" s="8">
        <v>42</v>
      </c>
      <c r="R43" s="48">
        <v>39</v>
      </c>
      <c r="S43" s="79">
        <f t="shared" si="18"/>
        <v>-0.0714285714285714</v>
      </c>
    </row>
    <row r="44" spans="1:19" s="10" customFormat="1" ht="12" customHeight="1">
      <c r="A44" s="240" t="s">
        <v>39</v>
      </c>
      <c r="B44" s="241"/>
      <c r="C44" s="42">
        <f>SUM(C42:C43)</f>
        <v>153</v>
      </c>
      <c r="D44" s="42">
        <f aca="true" t="shared" si="23" ref="D44:I44">SUM(D42:D43)</f>
        <v>163</v>
      </c>
      <c r="E44" s="42">
        <f t="shared" si="23"/>
        <v>227</v>
      </c>
      <c r="F44" s="42">
        <f t="shared" si="23"/>
        <v>242</v>
      </c>
      <c r="G44" s="42">
        <f t="shared" si="23"/>
        <v>269</v>
      </c>
      <c r="H44" s="42">
        <f t="shared" si="23"/>
        <v>299</v>
      </c>
      <c r="I44" s="52">
        <f t="shared" si="23"/>
        <v>330</v>
      </c>
      <c r="J44" s="59">
        <f t="shared" si="17"/>
        <v>0.10367892976588622</v>
      </c>
      <c r="K44" s="41"/>
      <c r="L44" s="42">
        <f>SUM(L42:L43)</f>
        <v>43</v>
      </c>
      <c r="M44" s="42">
        <f aca="true" t="shared" si="24" ref="M44:R44">SUM(M42:M43)</f>
        <v>64</v>
      </c>
      <c r="N44" s="42">
        <f t="shared" si="24"/>
        <v>89</v>
      </c>
      <c r="O44" s="42">
        <f t="shared" si="24"/>
        <v>83</v>
      </c>
      <c r="P44" s="42">
        <f t="shared" si="24"/>
        <v>97</v>
      </c>
      <c r="Q44" s="42">
        <f t="shared" si="24"/>
        <v>99</v>
      </c>
      <c r="R44" s="52">
        <f t="shared" si="24"/>
        <v>96</v>
      </c>
      <c r="S44" s="82">
        <f t="shared" si="18"/>
        <v>-0.030303030303030276</v>
      </c>
    </row>
    <row r="45" spans="1:19" s="10" customFormat="1" ht="12.75" customHeight="1">
      <c r="A45" s="78" t="s">
        <v>26</v>
      </c>
      <c r="B45" s="1" t="s">
        <v>27</v>
      </c>
      <c r="C45" s="2">
        <f>34+44</f>
        <v>78</v>
      </c>
      <c r="D45" s="2">
        <f>55+23</f>
        <v>78</v>
      </c>
      <c r="E45" s="2">
        <v>75</v>
      </c>
      <c r="F45" s="3">
        <v>75</v>
      </c>
      <c r="G45" s="2">
        <v>73</v>
      </c>
      <c r="H45" s="4">
        <v>81</v>
      </c>
      <c r="I45" s="19">
        <v>80</v>
      </c>
      <c r="J45" s="56">
        <f t="shared" si="17"/>
        <v>-0.012345679012345734</v>
      </c>
      <c r="K45" s="6"/>
      <c r="L45" s="2">
        <v>16</v>
      </c>
      <c r="M45" s="2">
        <v>28</v>
      </c>
      <c r="N45" s="3">
        <v>26</v>
      </c>
      <c r="O45" s="7">
        <v>26</v>
      </c>
      <c r="P45" s="1">
        <v>24</v>
      </c>
      <c r="Q45" s="8">
        <v>26</v>
      </c>
      <c r="R45" s="48">
        <v>28</v>
      </c>
      <c r="S45" s="79">
        <f t="shared" si="18"/>
        <v>0.07692307692307687</v>
      </c>
    </row>
    <row r="46" spans="1:19" s="10" customFormat="1" ht="12.75" customHeight="1">
      <c r="A46" s="78" t="s">
        <v>29</v>
      </c>
      <c r="B46" s="1" t="s">
        <v>27</v>
      </c>
      <c r="C46" s="2">
        <f>39+27</f>
        <v>66</v>
      </c>
      <c r="D46" s="2">
        <f>56+10</f>
        <v>66</v>
      </c>
      <c r="E46" s="2">
        <v>68</v>
      </c>
      <c r="F46" s="3">
        <v>69</v>
      </c>
      <c r="G46" s="2">
        <v>70</v>
      </c>
      <c r="H46" s="4">
        <v>68</v>
      </c>
      <c r="I46" s="19">
        <f>74</f>
        <v>74</v>
      </c>
      <c r="J46" s="56">
        <f t="shared" si="17"/>
        <v>0.08823529411764697</v>
      </c>
      <c r="K46" s="6"/>
      <c r="L46" s="2">
        <v>23</v>
      </c>
      <c r="M46" s="2">
        <v>26</v>
      </c>
      <c r="N46" s="3">
        <v>22</v>
      </c>
      <c r="O46" s="7">
        <v>28</v>
      </c>
      <c r="P46" s="1">
        <v>23</v>
      </c>
      <c r="Q46" s="8">
        <v>27</v>
      </c>
      <c r="R46" s="48">
        <v>25</v>
      </c>
      <c r="S46" s="79">
        <f t="shared" si="18"/>
        <v>-0.07407407407407407</v>
      </c>
    </row>
    <row r="47" spans="1:19" s="18" customFormat="1" ht="12" customHeight="1">
      <c r="A47" s="242" t="s">
        <v>40</v>
      </c>
      <c r="B47" s="244"/>
      <c r="C47" s="43">
        <f aca="true" t="shared" si="25" ref="C47:I47">SUM(C45:C46)</f>
        <v>144</v>
      </c>
      <c r="D47" s="43">
        <f t="shared" si="25"/>
        <v>144</v>
      </c>
      <c r="E47" s="43">
        <f t="shared" si="25"/>
        <v>143</v>
      </c>
      <c r="F47" s="43">
        <f t="shared" si="25"/>
        <v>144</v>
      </c>
      <c r="G47" s="43">
        <f t="shared" si="25"/>
        <v>143</v>
      </c>
      <c r="H47" s="43">
        <f t="shared" si="25"/>
        <v>149</v>
      </c>
      <c r="I47" s="53">
        <f t="shared" si="25"/>
        <v>154</v>
      </c>
      <c r="J47" s="60">
        <f t="shared" si="17"/>
        <v>0.033557046979865834</v>
      </c>
      <c r="K47" s="41"/>
      <c r="L47" s="43">
        <f aca="true" t="shared" si="26" ref="L47:R47">SUM(L45:L46)</f>
        <v>39</v>
      </c>
      <c r="M47" s="43">
        <f t="shared" si="26"/>
        <v>54</v>
      </c>
      <c r="N47" s="43">
        <f t="shared" si="26"/>
        <v>48</v>
      </c>
      <c r="O47" s="43">
        <f t="shared" si="26"/>
        <v>54</v>
      </c>
      <c r="P47" s="43">
        <f t="shared" si="26"/>
        <v>47</v>
      </c>
      <c r="Q47" s="43">
        <f t="shared" si="26"/>
        <v>53</v>
      </c>
      <c r="R47" s="53">
        <f t="shared" si="26"/>
        <v>53</v>
      </c>
      <c r="S47" s="83">
        <f t="shared" si="18"/>
        <v>0</v>
      </c>
    </row>
    <row r="48" spans="1:19" s="10" customFormat="1" ht="12.75" customHeight="1">
      <c r="A48" s="78" t="s">
        <v>5</v>
      </c>
      <c r="B48" s="1" t="s">
        <v>6</v>
      </c>
      <c r="C48" s="2">
        <f>39+37</f>
        <v>76</v>
      </c>
      <c r="D48" s="2">
        <f>70+17</f>
        <v>87</v>
      </c>
      <c r="E48" s="2">
        <v>94</v>
      </c>
      <c r="F48" s="3">
        <v>112</v>
      </c>
      <c r="G48" s="2">
        <v>134</v>
      </c>
      <c r="H48" s="4">
        <v>152</v>
      </c>
      <c r="I48" s="19">
        <v>173</v>
      </c>
      <c r="J48" s="56">
        <f t="shared" si="17"/>
        <v>0.13815789473684204</v>
      </c>
      <c r="K48" s="6"/>
      <c r="L48" s="2">
        <v>25</v>
      </c>
      <c r="M48" s="2">
        <v>40</v>
      </c>
      <c r="N48" s="3">
        <v>32</v>
      </c>
      <c r="O48" s="7">
        <v>42</v>
      </c>
      <c r="P48" s="1">
        <v>45</v>
      </c>
      <c r="Q48" s="8">
        <v>56</v>
      </c>
      <c r="R48" s="48">
        <v>36</v>
      </c>
      <c r="S48" s="79">
        <f t="shared" si="18"/>
        <v>-0.3571428571428571</v>
      </c>
    </row>
    <row r="49" spans="1:19" s="10" customFormat="1" ht="12" customHeight="1">
      <c r="A49" s="226" t="s">
        <v>42</v>
      </c>
      <c r="B49" s="245"/>
      <c r="C49" s="44">
        <f>SUM(C48)</f>
        <v>76</v>
      </c>
      <c r="D49" s="44">
        <f aca="true" t="shared" si="27" ref="D49:I49">SUM(D48)</f>
        <v>87</v>
      </c>
      <c r="E49" s="44">
        <f t="shared" si="27"/>
        <v>94</v>
      </c>
      <c r="F49" s="44">
        <f t="shared" si="27"/>
        <v>112</v>
      </c>
      <c r="G49" s="44">
        <f t="shared" si="27"/>
        <v>134</v>
      </c>
      <c r="H49" s="44">
        <f t="shared" si="27"/>
        <v>152</v>
      </c>
      <c r="I49" s="54">
        <f t="shared" si="27"/>
        <v>173</v>
      </c>
      <c r="J49" s="61">
        <f t="shared" si="17"/>
        <v>0.13815789473684204</v>
      </c>
      <c r="K49" s="41"/>
      <c r="L49" s="44">
        <f>SUM(L48)</f>
        <v>25</v>
      </c>
      <c r="M49" s="44">
        <f aca="true" t="shared" si="28" ref="M49:R49">SUM(M48)</f>
        <v>40</v>
      </c>
      <c r="N49" s="44">
        <f t="shared" si="28"/>
        <v>32</v>
      </c>
      <c r="O49" s="44">
        <f t="shared" si="28"/>
        <v>42</v>
      </c>
      <c r="P49" s="44">
        <f t="shared" si="28"/>
        <v>45</v>
      </c>
      <c r="Q49" s="44">
        <f t="shared" si="28"/>
        <v>56</v>
      </c>
      <c r="R49" s="54">
        <f t="shared" si="28"/>
        <v>36</v>
      </c>
      <c r="S49" s="84">
        <f t="shared" si="18"/>
        <v>-0.3571428571428571</v>
      </c>
    </row>
    <row r="50" spans="1:19" s="10" customFormat="1" ht="12.75" customHeight="1">
      <c r="A50" s="78" t="s">
        <v>24</v>
      </c>
      <c r="B50" s="28" t="s">
        <v>25</v>
      </c>
      <c r="C50" s="29">
        <f>62+73</f>
        <v>135</v>
      </c>
      <c r="D50" s="29">
        <f>88+32</f>
        <v>120</v>
      </c>
      <c r="E50" s="29">
        <v>136</v>
      </c>
      <c r="F50" s="30">
        <v>145</v>
      </c>
      <c r="G50" s="29">
        <v>173</v>
      </c>
      <c r="H50" s="29">
        <v>231</v>
      </c>
      <c r="I50" s="51">
        <v>215</v>
      </c>
      <c r="J50" s="62">
        <f t="shared" si="17"/>
        <v>-0.06926406926406925</v>
      </c>
      <c r="K50" s="6"/>
      <c r="L50" s="29">
        <v>32</v>
      </c>
      <c r="M50" s="29">
        <v>42</v>
      </c>
      <c r="N50" s="30">
        <v>40</v>
      </c>
      <c r="O50" s="31">
        <v>54</v>
      </c>
      <c r="P50" s="28">
        <v>52</v>
      </c>
      <c r="Q50" s="28">
        <v>60</v>
      </c>
      <c r="R50" s="55">
        <v>49</v>
      </c>
      <c r="S50" s="85">
        <f t="shared" si="18"/>
        <v>-0.18333333333333335</v>
      </c>
    </row>
    <row r="51" spans="1:19" s="18" customFormat="1" ht="12" customHeight="1" thickBot="1">
      <c r="A51" s="228" t="s">
        <v>41</v>
      </c>
      <c r="B51" s="246"/>
      <c r="C51" s="64">
        <f aca="true" t="shared" si="29" ref="C51:I51">SUM(C50)</f>
        <v>135</v>
      </c>
      <c r="D51" s="64">
        <f t="shared" si="29"/>
        <v>120</v>
      </c>
      <c r="E51" s="64">
        <f t="shared" si="29"/>
        <v>136</v>
      </c>
      <c r="F51" s="64">
        <f t="shared" si="29"/>
        <v>145</v>
      </c>
      <c r="G51" s="64">
        <f t="shared" si="29"/>
        <v>173</v>
      </c>
      <c r="H51" s="64">
        <f t="shared" si="29"/>
        <v>231</v>
      </c>
      <c r="I51" s="64">
        <f t="shared" si="29"/>
        <v>215</v>
      </c>
      <c r="J51" s="65">
        <f t="shared" si="17"/>
        <v>-0.06926406926406925</v>
      </c>
      <c r="K51" s="41"/>
      <c r="L51" s="64">
        <f aca="true" t="shared" si="30" ref="L51:R51">SUM(L50)</f>
        <v>32</v>
      </c>
      <c r="M51" s="64">
        <f t="shared" si="30"/>
        <v>42</v>
      </c>
      <c r="N51" s="64">
        <f t="shared" si="30"/>
        <v>40</v>
      </c>
      <c r="O51" s="64">
        <f t="shared" si="30"/>
        <v>54</v>
      </c>
      <c r="P51" s="64">
        <f t="shared" si="30"/>
        <v>52</v>
      </c>
      <c r="Q51" s="64">
        <f t="shared" si="30"/>
        <v>60</v>
      </c>
      <c r="R51" s="64">
        <f t="shared" si="30"/>
        <v>49</v>
      </c>
      <c r="S51" s="86">
        <f t="shared" si="18"/>
        <v>-0.18333333333333335</v>
      </c>
    </row>
    <row r="52" spans="1:19" s="10" customFormat="1" ht="15" customHeight="1">
      <c r="A52" s="151" t="s">
        <v>43</v>
      </c>
      <c r="B52" s="122"/>
      <c r="C52" s="120">
        <f>SUM(C38)+C41+C44+C47+C49+C51</f>
        <v>1186</v>
      </c>
      <c r="D52" s="120">
        <f aca="true" t="shared" si="31" ref="D52:I52">SUM(D38)+D41+D44+D47+D49+D51</f>
        <v>1312</v>
      </c>
      <c r="E52" s="120">
        <f t="shared" si="31"/>
        <v>1419</v>
      </c>
      <c r="F52" s="120">
        <f t="shared" si="31"/>
        <v>1538</v>
      </c>
      <c r="G52" s="120">
        <f t="shared" si="31"/>
        <v>1691</v>
      </c>
      <c r="H52" s="120">
        <f t="shared" si="31"/>
        <v>1912</v>
      </c>
      <c r="I52" s="120">
        <f t="shared" si="31"/>
        <v>1963</v>
      </c>
      <c r="J52" s="128">
        <f t="shared" si="17"/>
        <v>0.026673640167363954</v>
      </c>
      <c r="K52" s="121"/>
      <c r="L52" s="120">
        <f>SUM(L38)+L41+L44+L47+L49+L51</f>
        <v>361</v>
      </c>
      <c r="M52" s="120">
        <f aca="true" t="shared" si="32" ref="M52:R52">SUM(M38)+M41+M44+M47+M49+M51</f>
        <v>501</v>
      </c>
      <c r="N52" s="120">
        <f t="shared" si="32"/>
        <v>462</v>
      </c>
      <c r="O52" s="120">
        <f t="shared" si="32"/>
        <v>570</v>
      </c>
      <c r="P52" s="120">
        <f t="shared" si="32"/>
        <v>572</v>
      </c>
      <c r="Q52" s="120">
        <f t="shared" si="32"/>
        <v>660</v>
      </c>
      <c r="R52" s="120">
        <f t="shared" si="32"/>
        <v>598</v>
      </c>
      <c r="S52" s="128">
        <f t="shared" si="18"/>
        <v>-0.09393939393939399</v>
      </c>
    </row>
    <row r="53" spans="1:19" s="10" customFormat="1" ht="15" customHeight="1" thickBot="1">
      <c r="A53" s="152" t="s">
        <v>48</v>
      </c>
      <c r="B53" s="87"/>
      <c r="C53" s="114"/>
      <c r="D53" s="114"/>
      <c r="E53" s="114"/>
      <c r="F53" s="114"/>
      <c r="G53" s="115"/>
      <c r="H53" s="116"/>
      <c r="I53" s="116"/>
      <c r="J53" s="129"/>
      <c r="K53" s="112"/>
      <c r="L53" s="117">
        <f aca="true" t="shared" si="33" ref="L53:R53">L52/C52</f>
        <v>0.30438448566610454</v>
      </c>
      <c r="M53" s="117">
        <f t="shared" si="33"/>
        <v>0.38185975609756095</v>
      </c>
      <c r="N53" s="117">
        <f t="shared" si="33"/>
        <v>0.32558139534883723</v>
      </c>
      <c r="O53" s="117">
        <f t="shared" si="33"/>
        <v>0.3706111833550065</v>
      </c>
      <c r="P53" s="117">
        <f t="shared" si="33"/>
        <v>0.33826138379657006</v>
      </c>
      <c r="Q53" s="117">
        <f t="shared" si="33"/>
        <v>0.34518828451882844</v>
      </c>
      <c r="R53" s="117">
        <f t="shared" si="33"/>
        <v>0.304635761589404</v>
      </c>
      <c r="S53" s="129"/>
    </row>
    <row r="56" ht="15.75" customHeight="1" thickBot="1">
      <c r="A56" s="110" t="s">
        <v>46</v>
      </c>
    </row>
    <row r="57" spans="1:20" s="10" customFormat="1" ht="11.25" customHeight="1">
      <c r="A57" s="130" t="s">
        <v>10</v>
      </c>
      <c r="B57" s="131" t="s">
        <v>11</v>
      </c>
      <c r="C57" s="90">
        <v>94</v>
      </c>
      <c r="D57" s="90">
        <v>102</v>
      </c>
      <c r="E57" s="90">
        <v>127</v>
      </c>
      <c r="F57" s="90">
        <v>131</v>
      </c>
      <c r="G57" s="90">
        <v>143</v>
      </c>
      <c r="H57" s="90">
        <v>164</v>
      </c>
      <c r="I57" s="91">
        <v>190</v>
      </c>
      <c r="J57" s="106"/>
      <c r="K57" s="73"/>
      <c r="L57" s="90">
        <v>31</v>
      </c>
      <c r="M57" s="90">
        <v>29</v>
      </c>
      <c r="N57" s="90">
        <v>45</v>
      </c>
      <c r="O57" s="89">
        <v>31</v>
      </c>
      <c r="P57" s="89">
        <v>53</v>
      </c>
      <c r="Q57" s="89">
        <v>44</v>
      </c>
      <c r="R57" s="92">
        <v>55</v>
      </c>
      <c r="S57" s="93"/>
      <c r="T57" s="26"/>
    </row>
    <row r="58" spans="1:19" s="10" customFormat="1" ht="8.25">
      <c r="A58" s="94"/>
      <c r="C58" s="26"/>
      <c r="D58" s="26"/>
      <c r="E58" s="26"/>
      <c r="F58" s="26"/>
      <c r="G58" s="26"/>
      <c r="H58" s="123"/>
      <c r="I58" s="124"/>
      <c r="K58" s="6"/>
      <c r="L58" s="26"/>
      <c r="M58" s="26"/>
      <c r="N58" s="26"/>
      <c r="Q58" s="125"/>
      <c r="R58" s="126"/>
      <c r="S58" s="95"/>
    </row>
    <row r="59" spans="1:19" s="39" customFormat="1" ht="15" customHeight="1">
      <c r="A59" s="153" t="s">
        <v>43</v>
      </c>
      <c r="B59" s="127"/>
      <c r="C59" s="113">
        <f aca="true" t="shared" si="34" ref="C59:I59">SUM(C57:C57)</f>
        <v>94</v>
      </c>
      <c r="D59" s="113">
        <f t="shared" si="34"/>
        <v>102</v>
      </c>
      <c r="E59" s="113">
        <f t="shared" si="34"/>
        <v>127</v>
      </c>
      <c r="F59" s="113">
        <f t="shared" si="34"/>
        <v>131</v>
      </c>
      <c r="G59" s="113">
        <f t="shared" si="34"/>
        <v>143</v>
      </c>
      <c r="H59" s="113">
        <f t="shared" si="34"/>
        <v>164</v>
      </c>
      <c r="I59" s="113">
        <f t="shared" si="34"/>
        <v>190</v>
      </c>
      <c r="J59" s="134">
        <f>I57/H57-1</f>
        <v>0.15853658536585358</v>
      </c>
      <c r="K59" s="111"/>
      <c r="L59" s="113">
        <f aca="true" t="shared" si="35" ref="L59:R59">SUM(L57:L57)</f>
        <v>31</v>
      </c>
      <c r="M59" s="113">
        <f t="shared" si="35"/>
        <v>29</v>
      </c>
      <c r="N59" s="113">
        <f t="shared" si="35"/>
        <v>45</v>
      </c>
      <c r="O59" s="113">
        <f t="shared" si="35"/>
        <v>31</v>
      </c>
      <c r="P59" s="113">
        <f t="shared" si="35"/>
        <v>53</v>
      </c>
      <c r="Q59" s="113">
        <f t="shared" si="35"/>
        <v>44</v>
      </c>
      <c r="R59" s="113">
        <f t="shared" si="35"/>
        <v>55</v>
      </c>
      <c r="S59" s="135">
        <f>R59/Q59-1</f>
        <v>0.25</v>
      </c>
    </row>
    <row r="60" spans="1:19" ht="17.25" customHeight="1" thickBot="1">
      <c r="A60" s="154" t="s">
        <v>48</v>
      </c>
      <c r="B60" s="132"/>
      <c r="C60" s="141"/>
      <c r="D60" s="141"/>
      <c r="E60" s="141"/>
      <c r="F60" s="141"/>
      <c r="G60" s="141"/>
      <c r="H60" s="141"/>
      <c r="I60" s="141"/>
      <c r="J60" s="141"/>
      <c r="K60" s="133"/>
      <c r="L60" s="117">
        <f>L59/C59</f>
        <v>0.32978723404255317</v>
      </c>
      <c r="M60" s="117">
        <f aca="true" t="shared" si="36" ref="M60:R60">M59/D59</f>
        <v>0.28431372549019607</v>
      </c>
      <c r="N60" s="117">
        <f t="shared" si="36"/>
        <v>0.3543307086614173</v>
      </c>
      <c r="O60" s="117">
        <f t="shared" si="36"/>
        <v>0.2366412213740458</v>
      </c>
      <c r="P60" s="117">
        <f t="shared" si="36"/>
        <v>0.3706293706293706</v>
      </c>
      <c r="Q60" s="117">
        <f t="shared" si="36"/>
        <v>0.2682926829268293</v>
      </c>
      <c r="R60" s="117">
        <f t="shared" si="36"/>
        <v>0.2894736842105263</v>
      </c>
      <c r="S60" s="136"/>
    </row>
  </sheetData>
  <sheetProtection/>
  <mergeCells count="14">
    <mergeCell ref="A38:B38"/>
    <mergeCell ref="A41:B41"/>
    <mergeCell ref="A44:B44"/>
    <mergeCell ref="A47:B47"/>
    <mergeCell ref="A49:B49"/>
    <mergeCell ref="A51:B51"/>
    <mergeCell ref="A26:B26"/>
    <mergeCell ref="A28:B28"/>
    <mergeCell ref="C1:I1"/>
    <mergeCell ref="L1:R1"/>
    <mergeCell ref="A10:B10"/>
    <mergeCell ref="A15:B15"/>
    <mergeCell ref="A20:B20"/>
    <mergeCell ref="A23:B23"/>
  </mergeCells>
  <printOptions/>
  <pageMargins left="0.75" right="0.63" top="1" bottom="1" header="0.5" footer="0.5"/>
  <pageSetup horizontalDpi="600" verticalDpi="600" orientation="landscape" r:id="rId1"/>
  <headerFooter alignWithMargins="0">
    <oddFooter>&amp;LVHLORA Telling 4/10/2010&amp;CCijfers per hogeschool&amp;R&amp;P/&amp;N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60"/>
  <sheetViews>
    <sheetView zoomScalePageLayoutView="0" workbookViewId="0" topLeftCell="A1">
      <selection activeCell="E38" activeCellId="5" sqref="I26 I28 I28 I26 I28 E38"/>
    </sheetView>
  </sheetViews>
  <sheetFormatPr defaultColWidth="9.140625" defaultRowHeight="12.75"/>
  <cols>
    <col min="1" max="1" width="20.421875" style="0" customWidth="1"/>
    <col min="2" max="2" width="7.7109375" style="0" hidden="1" customWidth="1"/>
    <col min="3" max="8" width="5.7109375" style="0" bestFit="1" customWidth="1"/>
    <col min="9" max="9" width="6.28125" style="0" customWidth="1"/>
    <col min="10" max="10" width="5.7109375" style="0" bestFit="1" customWidth="1"/>
    <col min="11" max="11" width="7.00390625" style="0" customWidth="1"/>
    <col min="12" max="12" width="2.28125" style="100" customWidth="1"/>
    <col min="13" max="18" width="5.7109375" style="0" bestFit="1" customWidth="1"/>
    <col min="19" max="19" width="6.28125" style="0" customWidth="1"/>
    <col min="20" max="20" width="6.140625" style="0" bestFit="1" customWidth="1"/>
    <col min="21" max="21" width="7.28125" style="0" customWidth="1"/>
  </cols>
  <sheetData>
    <row r="1" spans="3:21" ht="16.5" customHeight="1" thickBot="1">
      <c r="C1" s="233" t="s">
        <v>47</v>
      </c>
      <c r="D1" s="234"/>
      <c r="E1" s="234"/>
      <c r="F1" s="234"/>
      <c r="G1" s="234"/>
      <c r="H1" s="234"/>
      <c r="I1" s="234"/>
      <c r="J1" s="234"/>
      <c r="K1" s="235"/>
      <c r="M1" s="233" t="s">
        <v>49</v>
      </c>
      <c r="N1" s="234"/>
      <c r="O1" s="234"/>
      <c r="P1" s="234"/>
      <c r="Q1" s="234"/>
      <c r="R1" s="234"/>
      <c r="S1" s="234"/>
      <c r="T1" s="234"/>
      <c r="U1" s="235"/>
    </row>
    <row r="2" spans="3:21" s="10" customFormat="1" ht="21" customHeight="1" thickBot="1">
      <c r="C2" s="201" t="s">
        <v>30</v>
      </c>
      <c r="D2" s="145" t="s">
        <v>31</v>
      </c>
      <c r="E2" s="202" t="s">
        <v>32</v>
      </c>
      <c r="F2" s="202" t="s">
        <v>33</v>
      </c>
      <c r="G2" s="202" t="s">
        <v>34</v>
      </c>
      <c r="H2" s="202" t="s">
        <v>35</v>
      </c>
      <c r="I2" s="202" t="s">
        <v>36</v>
      </c>
      <c r="J2" s="200" t="s">
        <v>50</v>
      </c>
      <c r="K2" s="198" t="s">
        <v>51</v>
      </c>
      <c r="L2" s="146"/>
      <c r="M2" s="147" t="s">
        <v>30</v>
      </c>
      <c r="N2" s="199" t="s">
        <v>31</v>
      </c>
      <c r="O2" s="199" t="s">
        <v>32</v>
      </c>
      <c r="P2" s="199" t="s">
        <v>33</v>
      </c>
      <c r="Q2" s="199" t="s">
        <v>34</v>
      </c>
      <c r="R2" s="199" t="s">
        <v>35</v>
      </c>
      <c r="S2" s="199" t="s">
        <v>36</v>
      </c>
      <c r="T2" s="200" t="s">
        <v>50</v>
      </c>
      <c r="U2" s="198" t="s">
        <v>51</v>
      </c>
    </row>
    <row r="3" spans="1:20" s="10" customFormat="1" ht="16.5" customHeight="1" thickBot="1">
      <c r="A3" s="109" t="s">
        <v>44</v>
      </c>
      <c r="C3" s="107"/>
      <c r="D3" s="107"/>
      <c r="E3" s="107"/>
      <c r="F3" s="107"/>
      <c r="G3" s="107"/>
      <c r="H3" s="107"/>
      <c r="I3" s="107"/>
      <c r="J3" s="101"/>
      <c r="L3" s="101"/>
      <c r="M3" s="108"/>
      <c r="N3" s="108"/>
      <c r="O3" s="108"/>
      <c r="P3" s="108"/>
      <c r="Q3" s="108"/>
      <c r="R3" s="108"/>
      <c r="S3" s="108"/>
      <c r="T3" s="101"/>
    </row>
    <row r="4" spans="1:20" s="10" customFormat="1" ht="12" customHeight="1" hidden="1">
      <c r="A4" s="66" t="s">
        <v>0</v>
      </c>
      <c r="B4" s="102" t="s">
        <v>1</v>
      </c>
      <c r="C4" s="68">
        <f>106+191</f>
        <v>297</v>
      </c>
      <c r="D4" s="68">
        <f>194+114</f>
        <v>308</v>
      </c>
      <c r="E4" s="68">
        <v>260</v>
      </c>
      <c r="F4" s="69">
        <v>272</v>
      </c>
      <c r="G4" s="68">
        <v>276</v>
      </c>
      <c r="H4" s="70">
        <v>293</v>
      </c>
      <c r="I4" s="71">
        <f>302+25</f>
        <v>327</v>
      </c>
      <c r="J4" s="72">
        <f>I4/H4-1</f>
        <v>0.11604095563139927</v>
      </c>
      <c r="L4" s="73"/>
      <c r="M4" s="68">
        <v>55</v>
      </c>
      <c r="N4" s="68">
        <v>65</v>
      </c>
      <c r="O4" s="69">
        <v>37</v>
      </c>
      <c r="P4" s="74">
        <v>101</v>
      </c>
      <c r="Q4" s="67">
        <v>85</v>
      </c>
      <c r="R4" s="75">
        <v>88</v>
      </c>
      <c r="S4" s="103">
        <v>81</v>
      </c>
      <c r="T4" s="77">
        <f>S4/R4-1</f>
        <v>-0.07954545454545459</v>
      </c>
    </row>
    <row r="5" spans="1:20" s="10" customFormat="1" ht="12" customHeight="1" hidden="1">
      <c r="A5" s="78" t="s">
        <v>0</v>
      </c>
      <c r="B5" s="32" t="s">
        <v>2</v>
      </c>
      <c r="C5" s="2">
        <f>17+31</f>
        <v>48</v>
      </c>
      <c r="D5" s="2">
        <v>18</v>
      </c>
      <c r="E5" s="2">
        <v>0</v>
      </c>
      <c r="F5" s="3"/>
      <c r="G5" s="2"/>
      <c r="H5" s="4"/>
      <c r="I5" s="19"/>
      <c r="J5" s="1"/>
      <c r="M5" s="2">
        <v>9</v>
      </c>
      <c r="N5" s="2">
        <v>0</v>
      </c>
      <c r="O5" s="3">
        <v>0</v>
      </c>
      <c r="P5" s="7"/>
      <c r="Q5" s="1"/>
      <c r="R5" s="8"/>
      <c r="S5" s="9"/>
      <c r="T5" s="79"/>
    </row>
    <row r="6" spans="1:20" s="10" customFormat="1" ht="12" customHeight="1" hidden="1">
      <c r="A6" s="78" t="s">
        <v>18</v>
      </c>
      <c r="B6" s="32" t="s">
        <v>1</v>
      </c>
      <c r="C6" s="2">
        <f>129+354</f>
        <v>483</v>
      </c>
      <c r="D6" s="2">
        <f>344+134</f>
        <v>478</v>
      </c>
      <c r="E6" s="2">
        <v>521</v>
      </c>
      <c r="F6" s="3">
        <f>178+352</f>
        <v>530</v>
      </c>
      <c r="G6" s="2">
        <f>326+176</f>
        <v>502</v>
      </c>
      <c r="H6" s="4">
        <f>367+250</f>
        <v>617</v>
      </c>
      <c r="I6" s="19">
        <f>409+203</f>
        <v>612</v>
      </c>
      <c r="J6" s="56">
        <f aca="true" t="shared" si="0" ref="J6:J29">I6/H6-1</f>
        <v>-0.008103727714748765</v>
      </c>
      <c r="L6" s="6"/>
      <c r="M6" s="2">
        <v>77</v>
      </c>
      <c r="N6" s="2">
        <v>171</v>
      </c>
      <c r="O6" s="3">
        <v>179</v>
      </c>
      <c r="P6" s="7">
        <f>69+80</f>
        <v>149</v>
      </c>
      <c r="Q6" s="1">
        <f>75+87</f>
        <v>162</v>
      </c>
      <c r="R6" s="8">
        <f>103+120</f>
        <v>223</v>
      </c>
      <c r="S6" s="9">
        <f>119+57</f>
        <v>176</v>
      </c>
      <c r="T6" s="79">
        <f aca="true" t="shared" si="1" ref="T6:T28">S6/R6-1</f>
        <v>-0.21076233183856508</v>
      </c>
    </row>
    <row r="7" spans="1:20" s="18" customFormat="1" ht="12" customHeight="1" hidden="1">
      <c r="A7" s="104" t="s">
        <v>28</v>
      </c>
      <c r="B7" s="32" t="s">
        <v>2</v>
      </c>
      <c r="C7" s="2">
        <f>51+107</f>
        <v>158</v>
      </c>
      <c r="D7" s="2">
        <f>135+46</f>
        <v>181</v>
      </c>
      <c r="E7" s="2">
        <f>220</f>
        <v>220</v>
      </c>
      <c r="F7" s="3">
        <v>298</v>
      </c>
      <c r="G7" s="2">
        <v>392</v>
      </c>
      <c r="H7" s="4">
        <v>434</v>
      </c>
      <c r="I7" s="19">
        <v>478</v>
      </c>
      <c r="J7" s="56">
        <f t="shared" si="0"/>
        <v>0.10138248847926268</v>
      </c>
      <c r="L7" s="6"/>
      <c r="M7" s="2">
        <v>27</v>
      </c>
      <c r="N7" s="2">
        <v>31</v>
      </c>
      <c r="O7" s="3">
        <v>41</v>
      </c>
      <c r="P7" s="7">
        <v>120</v>
      </c>
      <c r="Q7" s="1">
        <v>148</v>
      </c>
      <c r="R7" s="8">
        <v>135</v>
      </c>
      <c r="S7" s="9">
        <v>134</v>
      </c>
      <c r="T7" s="79">
        <f t="shared" si="1"/>
        <v>-0.007407407407407418</v>
      </c>
    </row>
    <row r="8" spans="1:20" s="10" customFormat="1" ht="12" customHeight="1" hidden="1">
      <c r="A8" s="78" t="s">
        <v>21</v>
      </c>
      <c r="B8" s="32" t="s">
        <v>22</v>
      </c>
      <c r="C8" s="2">
        <f>90+205</f>
        <v>295</v>
      </c>
      <c r="D8" s="2">
        <f>227+103</f>
        <v>330</v>
      </c>
      <c r="E8" s="2">
        <v>306</v>
      </c>
      <c r="F8" s="3">
        <v>365</v>
      </c>
      <c r="G8" s="2">
        <v>389</v>
      </c>
      <c r="H8" s="4">
        <v>399</v>
      </c>
      <c r="I8" s="19">
        <v>422</v>
      </c>
      <c r="J8" s="56">
        <f t="shared" si="0"/>
        <v>0.057644110275689275</v>
      </c>
      <c r="L8" s="6"/>
      <c r="M8" s="2">
        <v>79</v>
      </c>
      <c r="N8" s="2">
        <v>102</v>
      </c>
      <c r="O8" s="3">
        <v>61</v>
      </c>
      <c r="P8" s="7">
        <v>146</v>
      </c>
      <c r="Q8" s="1">
        <v>134</v>
      </c>
      <c r="R8" s="8">
        <v>126</v>
      </c>
      <c r="S8" s="9">
        <v>142</v>
      </c>
      <c r="T8" s="79">
        <f t="shared" si="1"/>
        <v>0.12698412698412698</v>
      </c>
    </row>
    <row r="9" spans="1:20" s="10" customFormat="1" ht="12" customHeight="1" hidden="1">
      <c r="A9" s="174" t="s">
        <v>21</v>
      </c>
      <c r="B9" s="175" t="s">
        <v>23</v>
      </c>
      <c r="C9" s="176">
        <f>65+199</f>
        <v>264</v>
      </c>
      <c r="D9" s="176">
        <f>187+70</f>
        <v>257</v>
      </c>
      <c r="E9" s="176">
        <v>262</v>
      </c>
      <c r="F9" s="177">
        <v>308</v>
      </c>
      <c r="G9" s="176">
        <v>281</v>
      </c>
      <c r="H9" s="178">
        <v>269</v>
      </c>
      <c r="I9" s="179">
        <v>286</v>
      </c>
      <c r="J9" s="180">
        <f t="shared" si="0"/>
        <v>0.06319702602230493</v>
      </c>
      <c r="L9" s="6"/>
      <c r="M9" s="176">
        <v>44</v>
      </c>
      <c r="N9" s="176">
        <v>74</v>
      </c>
      <c r="O9" s="177">
        <v>39</v>
      </c>
      <c r="P9" s="181">
        <v>102</v>
      </c>
      <c r="Q9" s="182">
        <v>69</v>
      </c>
      <c r="R9" s="183">
        <v>75</v>
      </c>
      <c r="S9" s="184">
        <v>97</v>
      </c>
      <c r="T9" s="185">
        <f t="shared" si="1"/>
        <v>0.2933333333333332</v>
      </c>
    </row>
    <row r="10" spans="1:21" s="39" customFormat="1" ht="12" customHeight="1">
      <c r="A10" s="247" t="s">
        <v>37</v>
      </c>
      <c r="B10" s="248"/>
      <c r="C10" s="186">
        <f aca="true" t="shared" si="2" ref="C10:I10">SUM(C4:C9)</f>
        <v>1545</v>
      </c>
      <c r="D10" s="186">
        <f t="shared" si="2"/>
        <v>1572</v>
      </c>
      <c r="E10" s="186">
        <f t="shared" si="2"/>
        <v>1569</v>
      </c>
      <c r="F10" s="186">
        <f t="shared" si="2"/>
        <v>1773</v>
      </c>
      <c r="G10" s="186">
        <f t="shared" si="2"/>
        <v>1840</v>
      </c>
      <c r="H10" s="186">
        <f t="shared" si="2"/>
        <v>2012</v>
      </c>
      <c r="I10" s="187">
        <f t="shared" si="2"/>
        <v>2125</v>
      </c>
      <c r="J10" s="188">
        <f>I10/H10-1</f>
        <v>0.05616302186878719</v>
      </c>
      <c r="K10" s="189">
        <f>I10/C10-1</f>
        <v>0.37540453074433655</v>
      </c>
      <c r="L10" s="190"/>
      <c r="M10" s="186">
        <f aca="true" t="shared" si="3" ref="M10:S10">SUM(M4:M9)</f>
        <v>291</v>
      </c>
      <c r="N10" s="186">
        <f t="shared" si="3"/>
        <v>443</v>
      </c>
      <c r="O10" s="186">
        <f t="shared" si="3"/>
        <v>357</v>
      </c>
      <c r="P10" s="186">
        <f t="shared" si="3"/>
        <v>618</v>
      </c>
      <c r="Q10" s="186">
        <f t="shared" si="3"/>
        <v>598</v>
      </c>
      <c r="R10" s="186">
        <f t="shared" si="3"/>
        <v>647</v>
      </c>
      <c r="S10" s="186">
        <f t="shared" si="3"/>
        <v>630</v>
      </c>
      <c r="T10" s="188">
        <f t="shared" si="1"/>
        <v>-0.026275115919629055</v>
      </c>
      <c r="U10" s="191">
        <f>S10/M10-1</f>
        <v>1.1649484536082473</v>
      </c>
    </row>
    <row r="11" spans="1:21" s="10" customFormat="1" ht="12" customHeight="1" hidden="1">
      <c r="A11" s="78" t="s">
        <v>12</v>
      </c>
      <c r="B11" s="28" t="s">
        <v>14</v>
      </c>
      <c r="C11" s="2">
        <f>55+77</f>
        <v>132</v>
      </c>
      <c r="D11" s="2">
        <f>101+36</f>
        <v>137</v>
      </c>
      <c r="E11" s="2">
        <v>153</v>
      </c>
      <c r="F11" s="3">
        <v>144</v>
      </c>
      <c r="G11" s="2">
        <v>189</v>
      </c>
      <c r="H11" s="4">
        <v>249</v>
      </c>
      <c r="I11" s="63">
        <v>305</v>
      </c>
      <c r="J11" s="56">
        <f t="shared" si="0"/>
        <v>0.2248995983935742</v>
      </c>
      <c r="K11" s="79"/>
      <c r="L11" s="6"/>
      <c r="M11" s="2">
        <v>41</v>
      </c>
      <c r="N11" s="2">
        <v>42</v>
      </c>
      <c r="O11" s="3">
        <v>61</v>
      </c>
      <c r="P11" s="7">
        <v>32</v>
      </c>
      <c r="Q11" s="1">
        <v>59</v>
      </c>
      <c r="R11" s="8">
        <v>77</v>
      </c>
      <c r="S11" s="17">
        <v>87</v>
      </c>
      <c r="T11" s="56">
        <f t="shared" si="1"/>
        <v>0.1298701298701299</v>
      </c>
      <c r="U11" s="167">
        <f aca="true" t="shared" si="4" ref="U11:U28">S11/M11-1</f>
        <v>1.1219512195121952</v>
      </c>
    </row>
    <row r="12" spans="1:21" s="10" customFormat="1" ht="12" customHeight="1" hidden="1">
      <c r="A12" s="78" t="s">
        <v>3</v>
      </c>
      <c r="B12" s="28" t="s">
        <v>4</v>
      </c>
      <c r="C12" s="2">
        <f>167+227</f>
        <v>394</v>
      </c>
      <c r="D12" s="2">
        <f>255+110</f>
        <v>365</v>
      </c>
      <c r="E12" s="2">
        <v>376</v>
      </c>
      <c r="F12" s="3">
        <v>416</v>
      </c>
      <c r="G12" s="2">
        <v>435</v>
      </c>
      <c r="H12" s="4">
        <v>541</v>
      </c>
      <c r="I12" s="19">
        <v>624</v>
      </c>
      <c r="J12" s="56">
        <f t="shared" si="0"/>
        <v>0.15341959334565614</v>
      </c>
      <c r="K12" s="79"/>
      <c r="L12" s="6"/>
      <c r="M12" s="2">
        <v>90</v>
      </c>
      <c r="N12" s="2">
        <v>88</v>
      </c>
      <c r="O12" s="3">
        <v>102</v>
      </c>
      <c r="P12" s="7">
        <v>148</v>
      </c>
      <c r="Q12" s="1">
        <v>128</v>
      </c>
      <c r="R12" s="8">
        <v>159</v>
      </c>
      <c r="S12" s="9">
        <v>171</v>
      </c>
      <c r="T12" s="56">
        <f t="shared" si="1"/>
        <v>0.07547169811320753</v>
      </c>
      <c r="U12" s="167">
        <f t="shared" si="4"/>
        <v>0.8999999999999999</v>
      </c>
    </row>
    <row r="13" spans="1:21" s="10" customFormat="1" ht="12" customHeight="1" hidden="1">
      <c r="A13" s="105" t="s">
        <v>7</v>
      </c>
      <c r="B13" s="33" t="s">
        <v>4</v>
      </c>
      <c r="C13" s="12">
        <f>142+289</f>
        <v>431</v>
      </c>
      <c r="D13" s="12">
        <f>246+167</f>
        <v>413</v>
      </c>
      <c r="E13" s="12">
        <f>425+16</f>
        <v>441</v>
      </c>
      <c r="F13" s="13">
        <v>452</v>
      </c>
      <c r="G13" s="11">
        <v>514</v>
      </c>
      <c r="H13" s="14">
        <v>528</v>
      </c>
      <c r="I13" s="98">
        <v>647</v>
      </c>
      <c r="J13" s="56">
        <f>I13/H13-1</f>
        <v>0.22537878787878785</v>
      </c>
      <c r="K13" s="79"/>
      <c r="L13" s="6"/>
      <c r="M13" s="12">
        <v>77</v>
      </c>
      <c r="N13" s="12">
        <v>74</v>
      </c>
      <c r="O13" s="16">
        <v>83</v>
      </c>
      <c r="P13" s="13">
        <v>178</v>
      </c>
      <c r="Q13" s="11">
        <v>78</v>
      </c>
      <c r="R13" s="14">
        <v>83</v>
      </c>
      <c r="S13" s="15">
        <v>215</v>
      </c>
      <c r="T13" s="56">
        <f t="shared" si="1"/>
        <v>1.5903614457831323</v>
      </c>
      <c r="U13" s="167">
        <f t="shared" si="4"/>
        <v>1.7922077922077921</v>
      </c>
    </row>
    <row r="14" spans="1:21" s="10" customFormat="1" ht="12" customHeight="1" hidden="1">
      <c r="A14" s="78" t="s">
        <v>12</v>
      </c>
      <c r="B14" s="28" t="s">
        <v>13</v>
      </c>
      <c r="C14" s="2">
        <f>81+79</f>
        <v>160</v>
      </c>
      <c r="D14" s="2">
        <f>101+36</f>
        <v>137</v>
      </c>
      <c r="E14" s="2">
        <v>144</v>
      </c>
      <c r="F14" s="3">
        <v>157</v>
      </c>
      <c r="G14" s="2">
        <v>180</v>
      </c>
      <c r="H14" s="4">
        <v>201</v>
      </c>
      <c r="I14" s="63">
        <v>277</v>
      </c>
      <c r="J14" s="56">
        <f t="shared" si="0"/>
        <v>0.37810945273631846</v>
      </c>
      <c r="K14" s="79"/>
      <c r="L14" s="6"/>
      <c r="M14" s="2">
        <v>50</v>
      </c>
      <c r="N14" s="2">
        <v>49</v>
      </c>
      <c r="O14" s="3">
        <v>56</v>
      </c>
      <c r="P14" s="7">
        <v>44</v>
      </c>
      <c r="Q14" s="1">
        <v>61</v>
      </c>
      <c r="R14" s="8">
        <v>61</v>
      </c>
      <c r="S14" s="17">
        <v>94</v>
      </c>
      <c r="T14" s="56">
        <f t="shared" si="1"/>
        <v>0.540983606557377</v>
      </c>
      <c r="U14" s="167">
        <f t="shared" si="4"/>
        <v>0.8799999999999999</v>
      </c>
    </row>
    <row r="15" spans="1:21" s="39" customFormat="1" ht="12" customHeight="1">
      <c r="A15" s="238" t="s">
        <v>38</v>
      </c>
      <c r="B15" s="239"/>
      <c r="C15" s="38">
        <f aca="true" t="shared" si="5" ref="C15:I15">SUM(C11:C14)</f>
        <v>1117</v>
      </c>
      <c r="D15" s="38">
        <f t="shared" si="5"/>
        <v>1052</v>
      </c>
      <c r="E15" s="38">
        <f t="shared" si="5"/>
        <v>1114</v>
      </c>
      <c r="F15" s="38">
        <f t="shared" si="5"/>
        <v>1169</v>
      </c>
      <c r="G15" s="38">
        <f t="shared" si="5"/>
        <v>1318</v>
      </c>
      <c r="H15" s="38">
        <f t="shared" si="5"/>
        <v>1519</v>
      </c>
      <c r="I15" s="51">
        <f t="shared" si="5"/>
        <v>1853</v>
      </c>
      <c r="J15" s="58">
        <f t="shared" si="0"/>
        <v>0.2198815009874917</v>
      </c>
      <c r="K15" s="81">
        <f aca="true" t="shared" si="6" ref="K15:K29">I15/C15-1</f>
        <v>0.6589077887197852</v>
      </c>
      <c r="L15" s="41"/>
      <c r="M15" s="38">
        <f aca="true" t="shared" si="7" ref="M15:S15">SUM(M11:M14)</f>
        <v>258</v>
      </c>
      <c r="N15" s="38">
        <f t="shared" si="7"/>
        <v>253</v>
      </c>
      <c r="O15" s="38">
        <f t="shared" si="7"/>
        <v>302</v>
      </c>
      <c r="P15" s="38">
        <f t="shared" si="7"/>
        <v>402</v>
      </c>
      <c r="Q15" s="38">
        <f t="shared" si="7"/>
        <v>326</v>
      </c>
      <c r="R15" s="38">
        <f t="shared" si="7"/>
        <v>380</v>
      </c>
      <c r="S15" s="38">
        <f t="shared" si="7"/>
        <v>567</v>
      </c>
      <c r="T15" s="58">
        <f t="shared" si="1"/>
        <v>0.4921052631578948</v>
      </c>
      <c r="U15" s="168">
        <f t="shared" si="4"/>
        <v>1.197674418604651</v>
      </c>
    </row>
    <row r="16" spans="1:21" s="10" customFormat="1" ht="12" customHeight="1" hidden="1">
      <c r="A16" s="78" t="s">
        <v>15</v>
      </c>
      <c r="B16" s="34" t="s">
        <v>16</v>
      </c>
      <c r="C16" s="2">
        <f>98+167</f>
        <v>265</v>
      </c>
      <c r="D16" s="2">
        <f>205+84</f>
        <v>289</v>
      </c>
      <c r="E16" s="2">
        <v>278</v>
      </c>
      <c r="F16" s="3">
        <v>358</v>
      </c>
      <c r="G16" s="2">
        <v>397</v>
      </c>
      <c r="H16" s="4">
        <v>474</v>
      </c>
      <c r="I16" s="19">
        <f>365+179</f>
        <v>544</v>
      </c>
      <c r="J16" s="56">
        <f t="shared" si="0"/>
        <v>0.14767932489451474</v>
      </c>
      <c r="K16" s="79">
        <f t="shared" si="6"/>
        <v>1.0528301886792453</v>
      </c>
      <c r="L16" s="6"/>
      <c r="M16" s="2">
        <v>52</v>
      </c>
      <c r="N16" s="2">
        <v>60</v>
      </c>
      <c r="O16" s="3">
        <v>79</v>
      </c>
      <c r="P16" s="7">
        <v>126</v>
      </c>
      <c r="Q16" s="1">
        <v>100</v>
      </c>
      <c r="R16" s="8">
        <v>122</v>
      </c>
      <c r="S16" s="9">
        <f>118+15</f>
        <v>133</v>
      </c>
      <c r="T16" s="56">
        <f t="shared" si="1"/>
        <v>0.0901639344262295</v>
      </c>
      <c r="U16" s="167">
        <f t="shared" si="4"/>
        <v>1.5576923076923075</v>
      </c>
    </row>
    <row r="17" spans="1:21" s="10" customFormat="1" ht="12" customHeight="1" hidden="1">
      <c r="A17" s="78" t="s">
        <v>15</v>
      </c>
      <c r="B17" s="34" t="s">
        <v>17</v>
      </c>
      <c r="C17" s="2">
        <f>73+233</f>
        <v>306</v>
      </c>
      <c r="D17" s="2">
        <f>183+111</f>
        <v>294</v>
      </c>
      <c r="E17" s="2">
        <v>297</v>
      </c>
      <c r="F17" s="3">
        <v>303</v>
      </c>
      <c r="G17" s="2">
        <v>337</v>
      </c>
      <c r="H17" s="4">
        <v>377</v>
      </c>
      <c r="I17" s="19">
        <f>111+288</f>
        <v>399</v>
      </c>
      <c r="J17" s="56">
        <f t="shared" si="0"/>
        <v>0.05835543766578244</v>
      </c>
      <c r="K17" s="79">
        <f t="shared" si="6"/>
        <v>0.303921568627451</v>
      </c>
      <c r="L17" s="6"/>
      <c r="M17" s="2">
        <v>64</v>
      </c>
      <c r="N17" s="2">
        <v>50</v>
      </c>
      <c r="O17" s="3">
        <v>67</v>
      </c>
      <c r="P17" s="7">
        <v>128</v>
      </c>
      <c r="Q17" s="1">
        <v>140</v>
      </c>
      <c r="R17" s="8">
        <v>144</v>
      </c>
      <c r="S17" s="9">
        <f>50+92</f>
        <v>142</v>
      </c>
      <c r="T17" s="56">
        <f t="shared" si="1"/>
        <v>-0.01388888888888884</v>
      </c>
      <c r="U17" s="167">
        <f t="shared" si="4"/>
        <v>1.21875</v>
      </c>
    </row>
    <row r="18" spans="1:21" s="10" customFormat="1" ht="12" customHeight="1" hidden="1">
      <c r="A18" s="78" t="s">
        <v>19</v>
      </c>
      <c r="B18" s="34" t="s">
        <v>20</v>
      </c>
      <c r="C18" s="2">
        <f>113+169</f>
        <v>282</v>
      </c>
      <c r="D18" s="2">
        <f>192+68</f>
        <v>260</v>
      </c>
      <c r="E18" s="2">
        <v>311</v>
      </c>
      <c r="F18" s="3">
        <v>307</v>
      </c>
      <c r="G18" s="2">
        <v>313</v>
      </c>
      <c r="H18" s="4">
        <v>352</v>
      </c>
      <c r="I18" s="19">
        <v>346</v>
      </c>
      <c r="J18" s="56">
        <f t="shared" si="0"/>
        <v>-0.017045454545454586</v>
      </c>
      <c r="K18" s="79">
        <f t="shared" si="6"/>
        <v>0.22695035460992918</v>
      </c>
      <c r="L18" s="6"/>
      <c r="M18" s="2">
        <v>87</v>
      </c>
      <c r="N18" s="2">
        <v>89</v>
      </c>
      <c r="O18" s="3">
        <v>82</v>
      </c>
      <c r="P18" s="7">
        <v>112</v>
      </c>
      <c r="Q18" s="1">
        <v>87</v>
      </c>
      <c r="R18" s="8">
        <v>106</v>
      </c>
      <c r="S18" s="9">
        <v>83</v>
      </c>
      <c r="T18" s="56">
        <f t="shared" si="1"/>
        <v>-0.21698113207547165</v>
      </c>
      <c r="U18" s="167">
        <f t="shared" si="4"/>
        <v>-0.04597701149425293</v>
      </c>
    </row>
    <row r="19" spans="1:21" s="10" customFormat="1" ht="12" customHeight="1" hidden="1">
      <c r="A19" s="78" t="s">
        <v>8</v>
      </c>
      <c r="B19" s="34" t="s">
        <v>9</v>
      </c>
      <c r="C19" s="2">
        <f>41+58</f>
        <v>99</v>
      </c>
      <c r="D19" s="2">
        <f>72+25</f>
        <v>97</v>
      </c>
      <c r="E19" s="2">
        <v>91</v>
      </c>
      <c r="F19" s="3">
        <f>93+8</f>
        <v>101</v>
      </c>
      <c r="G19" s="2">
        <f>77+13</f>
        <v>90</v>
      </c>
      <c r="H19" s="4">
        <v>90</v>
      </c>
      <c r="I19" s="19">
        <v>262</v>
      </c>
      <c r="J19" s="56">
        <f t="shared" si="0"/>
        <v>1.911111111111111</v>
      </c>
      <c r="K19" s="79">
        <f t="shared" si="6"/>
        <v>1.6464646464646466</v>
      </c>
      <c r="L19" s="6"/>
      <c r="M19" s="2">
        <v>19</v>
      </c>
      <c r="N19" s="2">
        <v>19</v>
      </c>
      <c r="O19" s="3">
        <v>23</v>
      </c>
      <c r="P19" s="7">
        <f>31+5</f>
        <v>36</v>
      </c>
      <c r="Q19" s="1">
        <v>14</v>
      </c>
      <c r="R19" s="8">
        <v>15</v>
      </c>
      <c r="S19" s="9">
        <v>155</v>
      </c>
      <c r="T19" s="56">
        <f t="shared" si="1"/>
        <v>9.333333333333334</v>
      </c>
      <c r="U19" s="167">
        <f t="shared" si="4"/>
        <v>7.157894736842104</v>
      </c>
    </row>
    <row r="20" spans="1:21" s="10" customFormat="1" ht="12" customHeight="1">
      <c r="A20" s="240" t="s">
        <v>39</v>
      </c>
      <c r="B20" s="241"/>
      <c r="C20" s="42">
        <f aca="true" t="shared" si="8" ref="C20:I20">SUM(C16:C19)</f>
        <v>952</v>
      </c>
      <c r="D20" s="42">
        <f t="shared" si="8"/>
        <v>940</v>
      </c>
      <c r="E20" s="42">
        <f t="shared" si="8"/>
        <v>977</v>
      </c>
      <c r="F20" s="42">
        <f t="shared" si="8"/>
        <v>1069</v>
      </c>
      <c r="G20" s="42">
        <f t="shared" si="8"/>
        <v>1137</v>
      </c>
      <c r="H20" s="42">
        <f t="shared" si="8"/>
        <v>1293</v>
      </c>
      <c r="I20" s="52">
        <f t="shared" si="8"/>
        <v>1551</v>
      </c>
      <c r="J20" s="59">
        <f t="shared" si="0"/>
        <v>0.19953596287703013</v>
      </c>
      <c r="K20" s="82">
        <f t="shared" si="6"/>
        <v>0.6292016806722689</v>
      </c>
      <c r="L20" s="41"/>
      <c r="M20" s="42">
        <f aca="true" t="shared" si="9" ref="M20:S20">SUM(M16:M19)</f>
        <v>222</v>
      </c>
      <c r="N20" s="42">
        <f t="shared" si="9"/>
        <v>218</v>
      </c>
      <c r="O20" s="42">
        <f t="shared" si="9"/>
        <v>251</v>
      </c>
      <c r="P20" s="42">
        <f t="shared" si="9"/>
        <v>402</v>
      </c>
      <c r="Q20" s="42">
        <f t="shared" si="9"/>
        <v>341</v>
      </c>
      <c r="R20" s="42">
        <f t="shared" si="9"/>
        <v>387</v>
      </c>
      <c r="S20" s="42">
        <f t="shared" si="9"/>
        <v>513</v>
      </c>
      <c r="T20" s="59">
        <f t="shared" si="1"/>
        <v>0.3255813953488371</v>
      </c>
      <c r="U20" s="169">
        <f t="shared" si="4"/>
        <v>1.310810810810811</v>
      </c>
    </row>
    <row r="21" spans="1:21" s="18" customFormat="1" ht="12" customHeight="1" hidden="1">
      <c r="A21" s="78" t="s">
        <v>26</v>
      </c>
      <c r="B21" s="37" t="s">
        <v>27</v>
      </c>
      <c r="C21" s="2">
        <f>176+306</f>
        <v>482</v>
      </c>
      <c r="D21" s="2">
        <f>301+146</f>
        <v>447</v>
      </c>
      <c r="E21" s="2">
        <v>428</v>
      </c>
      <c r="F21" s="3">
        <v>375</v>
      </c>
      <c r="G21" s="2">
        <v>388</v>
      </c>
      <c r="H21" s="2">
        <v>443</v>
      </c>
      <c r="I21" s="99">
        <v>558</v>
      </c>
      <c r="J21" s="56">
        <f t="shared" si="0"/>
        <v>0.2595936794582392</v>
      </c>
      <c r="K21" s="79">
        <f t="shared" si="6"/>
        <v>0.15767634854771795</v>
      </c>
      <c r="L21" s="6"/>
      <c r="M21" s="2">
        <v>102</v>
      </c>
      <c r="N21" s="2">
        <v>86</v>
      </c>
      <c r="O21" s="3">
        <v>118</v>
      </c>
      <c r="P21" s="7">
        <v>110</v>
      </c>
      <c r="Q21" s="1">
        <v>136</v>
      </c>
      <c r="R21" s="1">
        <v>162</v>
      </c>
      <c r="S21" s="36">
        <v>180</v>
      </c>
      <c r="T21" s="56">
        <f t="shared" si="1"/>
        <v>0.11111111111111116</v>
      </c>
      <c r="U21" s="167">
        <f t="shared" si="4"/>
        <v>0.7647058823529411</v>
      </c>
    </row>
    <row r="22" spans="1:21" s="18" customFormat="1" ht="12" customHeight="1" hidden="1">
      <c r="A22" s="78" t="s">
        <v>29</v>
      </c>
      <c r="B22" s="37" t="s">
        <v>27</v>
      </c>
      <c r="C22" s="2">
        <f>151+144</f>
        <v>295</v>
      </c>
      <c r="D22" s="2">
        <f>299+58</f>
        <v>357</v>
      </c>
      <c r="E22" s="2">
        <v>357</v>
      </c>
      <c r="F22" s="3">
        <v>366</v>
      </c>
      <c r="G22" s="2">
        <v>323</v>
      </c>
      <c r="H22" s="2">
        <v>359</v>
      </c>
      <c r="I22" s="99">
        <v>382</v>
      </c>
      <c r="J22" s="56">
        <f t="shared" si="0"/>
        <v>0.06406685236768794</v>
      </c>
      <c r="K22" s="79">
        <f t="shared" si="6"/>
        <v>0.29491525423728815</v>
      </c>
      <c r="L22" s="6"/>
      <c r="M22" s="2">
        <v>95</v>
      </c>
      <c r="N22" s="2">
        <v>115</v>
      </c>
      <c r="O22" s="3">
        <v>73</v>
      </c>
      <c r="P22" s="7">
        <v>90</v>
      </c>
      <c r="Q22" s="1">
        <v>98</v>
      </c>
      <c r="R22" s="1">
        <v>85</v>
      </c>
      <c r="S22" s="36">
        <f>87+2</f>
        <v>89</v>
      </c>
      <c r="T22" s="56">
        <f t="shared" si="1"/>
        <v>0.04705882352941182</v>
      </c>
      <c r="U22" s="167">
        <f t="shared" si="4"/>
        <v>-0.06315789473684208</v>
      </c>
    </row>
    <row r="23" spans="1:21" s="18" customFormat="1" ht="12" customHeight="1">
      <c r="A23" s="242" t="s">
        <v>40</v>
      </c>
      <c r="B23" s="243"/>
      <c r="C23" s="43">
        <f aca="true" t="shared" si="10" ref="C23:I23">SUM(C21:C22)</f>
        <v>777</v>
      </c>
      <c r="D23" s="43">
        <f t="shared" si="10"/>
        <v>804</v>
      </c>
      <c r="E23" s="43">
        <f t="shared" si="10"/>
        <v>785</v>
      </c>
      <c r="F23" s="43">
        <f t="shared" si="10"/>
        <v>741</v>
      </c>
      <c r="G23" s="43">
        <f t="shared" si="10"/>
        <v>711</v>
      </c>
      <c r="H23" s="43">
        <f t="shared" si="10"/>
        <v>802</v>
      </c>
      <c r="I23" s="43">
        <f t="shared" si="10"/>
        <v>940</v>
      </c>
      <c r="J23" s="60">
        <f t="shared" si="0"/>
        <v>0.17206982543640903</v>
      </c>
      <c r="K23" s="83">
        <f t="shared" si="6"/>
        <v>0.20978120978120973</v>
      </c>
      <c r="L23" s="41"/>
      <c r="M23" s="43">
        <f aca="true" t="shared" si="11" ref="M23:S23">SUM(M21:M22)</f>
        <v>197</v>
      </c>
      <c r="N23" s="43">
        <f t="shared" si="11"/>
        <v>201</v>
      </c>
      <c r="O23" s="43">
        <f t="shared" si="11"/>
        <v>191</v>
      </c>
      <c r="P23" s="43">
        <f t="shared" si="11"/>
        <v>200</v>
      </c>
      <c r="Q23" s="43">
        <f t="shared" si="11"/>
        <v>234</v>
      </c>
      <c r="R23" s="43">
        <f t="shared" si="11"/>
        <v>247</v>
      </c>
      <c r="S23" s="43">
        <f t="shared" si="11"/>
        <v>269</v>
      </c>
      <c r="T23" s="60">
        <f t="shared" si="1"/>
        <v>0.08906882591093113</v>
      </c>
      <c r="U23" s="170">
        <f t="shared" si="4"/>
        <v>0.36548223350253806</v>
      </c>
    </row>
    <row r="24" spans="1:21" s="10" customFormat="1" ht="12" customHeight="1" hidden="1">
      <c r="A24" s="78" t="s">
        <v>5</v>
      </c>
      <c r="B24" s="88" t="s">
        <v>6</v>
      </c>
      <c r="C24" s="2">
        <f>82+140</f>
        <v>222</v>
      </c>
      <c r="D24" s="2">
        <f>122+75</f>
        <v>197</v>
      </c>
      <c r="E24" s="2">
        <v>208</v>
      </c>
      <c r="F24" s="2">
        <f>208</f>
        <v>208</v>
      </c>
      <c r="G24" s="2">
        <v>212</v>
      </c>
      <c r="H24" s="4">
        <v>219</v>
      </c>
      <c r="I24" s="5">
        <v>248</v>
      </c>
      <c r="J24" s="56">
        <f t="shared" si="0"/>
        <v>0.13242009132420085</v>
      </c>
      <c r="K24" s="79">
        <f t="shared" si="6"/>
        <v>0.11711711711711703</v>
      </c>
      <c r="L24" s="6"/>
      <c r="M24" s="2">
        <v>41</v>
      </c>
      <c r="N24" s="2">
        <v>42</v>
      </c>
      <c r="O24" s="3">
        <v>57</v>
      </c>
      <c r="P24" s="7">
        <f>65</f>
        <v>65</v>
      </c>
      <c r="Q24" s="1">
        <v>68</v>
      </c>
      <c r="R24" s="8">
        <v>58</v>
      </c>
      <c r="S24" s="9">
        <v>68</v>
      </c>
      <c r="T24" s="56">
        <f t="shared" si="1"/>
        <v>0.17241379310344818</v>
      </c>
      <c r="U24" s="167">
        <f t="shared" si="4"/>
        <v>0.6585365853658536</v>
      </c>
    </row>
    <row r="25" spans="1:21" s="10" customFormat="1" ht="12" customHeight="1" hidden="1">
      <c r="A25" s="78" t="s">
        <v>10</v>
      </c>
      <c r="B25" s="88" t="s">
        <v>11</v>
      </c>
      <c r="C25" s="2">
        <f>32+21</f>
        <v>53</v>
      </c>
      <c r="D25" s="2">
        <f>74+16</f>
        <v>90</v>
      </c>
      <c r="E25" s="2">
        <v>83</v>
      </c>
      <c r="F25" s="2">
        <v>79</v>
      </c>
      <c r="G25" s="2">
        <v>80</v>
      </c>
      <c r="H25" s="4">
        <v>103</v>
      </c>
      <c r="I25" s="5">
        <v>161</v>
      </c>
      <c r="J25" s="56">
        <f t="shared" si="0"/>
        <v>0.5631067961165048</v>
      </c>
      <c r="K25" s="79">
        <f t="shared" si="6"/>
        <v>2.0377358490566038</v>
      </c>
      <c r="L25" s="6"/>
      <c r="M25" s="2">
        <v>15</v>
      </c>
      <c r="N25" s="2">
        <v>39</v>
      </c>
      <c r="O25" s="3">
        <v>22</v>
      </c>
      <c r="P25" s="7">
        <v>21</v>
      </c>
      <c r="Q25" s="1">
        <v>28</v>
      </c>
      <c r="R25" s="8">
        <v>34</v>
      </c>
      <c r="S25" s="9">
        <v>56</v>
      </c>
      <c r="T25" s="56">
        <f t="shared" si="1"/>
        <v>0.6470588235294117</v>
      </c>
      <c r="U25" s="167">
        <f t="shared" si="4"/>
        <v>2.7333333333333334</v>
      </c>
    </row>
    <row r="26" spans="1:21" s="18" customFormat="1" ht="12" customHeight="1">
      <c r="A26" s="228" t="s">
        <v>41</v>
      </c>
      <c r="B26" s="229"/>
      <c r="C26" s="119">
        <f aca="true" t="shared" si="12" ref="C26:I26">SUM(C28)</f>
        <v>369</v>
      </c>
      <c r="D26" s="119">
        <f t="shared" si="12"/>
        <v>371</v>
      </c>
      <c r="E26" s="119">
        <f t="shared" si="12"/>
        <v>466</v>
      </c>
      <c r="F26" s="119">
        <f t="shared" si="12"/>
        <v>483</v>
      </c>
      <c r="G26" s="119">
        <f t="shared" si="12"/>
        <v>576</v>
      </c>
      <c r="H26" s="119">
        <f t="shared" si="12"/>
        <v>657</v>
      </c>
      <c r="I26" s="119">
        <f t="shared" si="12"/>
        <v>743</v>
      </c>
      <c r="J26" s="65">
        <f t="shared" si="0"/>
        <v>0.13089802130898032</v>
      </c>
      <c r="K26" s="86">
        <f t="shared" si="6"/>
        <v>1.013550135501355</v>
      </c>
      <c r="L26" s="41"/>
      <c r="M26" s="119">
        <f aca="true" t="shared" si="13" ref="M26:S26">SUM(M28)</f>
        <v>84</v>
      </c>
      <c r="N26" s="119">
        <f t="shared" si="13"/>
        <v>111</v>
      </c>
      <c r="O26" s="119">
        <f t="shared" si="13"/>
        <v>141</v>
      </c>
      <c r="P26" s="119">
        <f t="shared" si="13"/>
        <v>125</v>
      </c>
      <c r="Q26" s="119">
        <f t="shared" si="13"/>
        <v>170</v>
      </c>
      <c r="R26" s="119">
        <f t="shared" si="13"/>
        <v>162</v>
      </c>
      <c r="S26" s="119">
        <f t="shared" si="13"/>
        <v>203</v>
      </c>
      <c r="T26" s="65">
        <f>S26/R26-1</f>
        <v>0.25308641975308643</v>
      </c>
      <c r="U26" s="171">
        <f>S26/M26-1</f>
        <v>1.4166666666666665</v>
      </c>
    </row>
    <row r="27" spans="1:21" s="10" customFormat="1" ht="12" customHeight="1" thickBot="1">
      <c r="A27" s="226" t="s">
        <v>42</v>
      </c>
      <c r="B27" s="227"/>
      <c r="C27" s="44">
        <f aca="true" t="shared" si="14" ref="C27:I27">SUM(C24:C25)</f>
        <v>275</v>
      </c>
      <c r="D27" s="44">
        <f t="shared" si="14"/>
        <v>287</v>
      </c>
      <c r="E27" s="44">
        <f t="shared" si="14"/>
        <v>291</v>
      </c>
      <c r="F27" s="44">
        <f t="shared" si="14"/>
        <v>287</v>
      </c>
      <c r="G27" s="44">
        <f t="shared" si="14"/>
        <v>292</v>
      </c>
      <c r="H27" s="44">
        <f t="shared" si="14"/>
        <v>322</v>
      </c>
      <c r="I27" s="44">
        <f t="shared" si="14"/>
        <v>409</v>
      </c>
      <c r="J27" s="61">
        <f t="shared" si="0"/>
        <v>0.2701863354037266</v>
      </c>
      <c r="K27" s="84">
        <f t="shared" si="6"/>
        <v>0.4872727272727273</v>
      </c>
      <c r="L27" s="41"/>
      <c r="M27" s="44">
        <f aca="true" t="shared" si="15" ref="M27:S27">SUM(M24:M25)</f>
        <v>56</v>
      </c>
      <c r="N27" s="44">
        <f t="shared" si="15"/>
        <v>81</v>
      </c>
      <c r="O27" s="44">
        <f t="shared" si="15"/>
        <v>79</v>
      </c>
      <c r="P27" s="44">
        <f t="shared" si="15"/>
        <v>86</v>
      </c>
      <c r="Q27" s="44">
        <f t="shared" si="15"/>
        <v>96</v>
      </c>
      <c r="R27" s="44">
        <f t="shared" si="15"/>
        <v>92</v>
      </c>
      <c r="S27" s="44">
        <f t="shared" si="15"/>
        <v>124</v>
      </c>
      <c r="T27" s="61">
        <f t="shared" si="1"/>
        <v>0.34782608695652173</v>
      </c>
      <c r="U27" s="172">
        <f>S27/M27-1</f>
        <v>1.2142857142857144</v>
      </c>
    </row>
    <row r="28" spans="1:21" s="10" customFormat="1" ht="12" customHeight="1" hidden="1">
      <c r="A28" s="78" t="s">
        <v>24</v>
      </c>
      <c r="B28" s="118" t="s">
        <v>25</v>
      </c>
      <c r="C28" s="2">
        <f>154+215</f>
        <v>369</v>
      </c>
      <c r="D28" s="2">
        <f>263+108</f>
        <v>371</v>
      </c>
      <c r="E28" s="2">
        <v>466</v>
      </c>
      <c r="F28" s="2">
        <f>449+30+4</f>
        <v>483</v>
      </c>
      <c r="G28" s="2">
        <f>546+30</f>
        <v>576</v>
      </c>
      <c r="H28" s="2">
        <f>625+32</f>
        <v>657</v>
      </c>
      <c r="I28" s="35">
        <f>708+35</f>
        <v>743</v>
      </c>
      <c r="J28" s="56">
        <f t="shared" si="0"/>
        <v>0.13089802130898032</v>
      </c>
      <c r="K28" s="79">
        <f t="shared" si="6"/>
        <v>1.013550135501355</v>
      </c>
      <c r="L28" s="6"/>
      <c r="M28" s="2">
        <v>84</v>
      </c>
      <c r="N28" s="2">
        <v>111</v>
      </c>
      <c r="O28" s="2">
        <v>141</v>
      </c>
      <c r="P28" s="1">
        <v>125</v>
      </c>
      <c r="Q28" s="1">
        <v>170</v>
      </c>
      <c r="R28" s="1">
        <v>162</v>
      </c>
      <c r="S28" s="36">
        <v>203</v>
      </c>
      <c r="T28" s="56">
        <f t="shared" si="1"/>
        <v>0.25308641975308643</v>
      </c>
      <c r="U28" s="167">
        <f t="shared" si="4"/>
        <v>1.4166666666666665</v>
      </c>
    </row>
    <row r="29" spans="1:21" s="46" customFormat="1" ht="14.25" customHeight="1">
      <c r="A29" s="197" t="s">
        <v>43</v>
      </c>
      <c r="B29" s="96"/>
      <c r="C29" s="120">
        <f aca="true" t="shared" si="16" ref="C29:I29">SUM(C10)+C15+C20+C23+C27+C26</f>
        <v>5035</v>
      </c>
      <c r="D29" s="120">
        <f t="shared" si="16"/>
        <v>5026</v>
      </c>
      <c r="E29" s="120">
        <f t="shared" si="16"/>
        <v>5202</v>
      </c>
      <c r="F29" s="120">
        <f t="shared" si="16"/>
        <v>5522</v>
      </c>
      <c r="G29" s="120">
        <f t="shared" si="16"/>
        <v>5874</v>
      </c>
      <c r="H29" s="120">
        <f t="shared" si="16"/>
        <v>6605</v>
      </c>
      <c r="I29" s="120">
        <f t="shared" si="16"/>
        <v>7621</v>
      </c>
      <c r="J29" s="137">
        <f t="shared" si="0"/>
        <v>0.15382286146858437</v>
      </c>
      <c r="K29" s="137">
        <f t="shared" si="6"/>
        <v>0.513604766633565</v>
      </c>
      <c r="L29" s="121"/>
      <c r="M29" s="120">
        <f aca="true" t="shared" si="17" ref="M29:S29">SUM(M10)+M15+M20+M23+M27+M26</f>
        <v>1108</v>
      </c>
      <c r="N29" s="120">
        <f t="shared" si="17"/>
        <v>1307</v>
      </c>
      <c r="O29" s="120">
        <f t="shared" si="17"/>
        <v>1321</v>
      </c>
      <c r="P29" s="120">
        <f t="shared" si="17"/>
        <v>1833</v>
      </c>
      <c r="Q29" s="120">
        <f t="shared" si="17"/>
        <v>1765</v>
      </c>
      <c r="R29" s="120">
        <f t="shared" si="17"/>
        <v>1915</v>
      </c>
      <c r="S29" s="120">
        <f t="shared" si="17"/>
        <v>2306</v>
      </c>
      <c r="T29" s="137">
        <f>S29/R29-1</f>
        <v>0.20417754569190594</v>
      </c>
      <c r="U29" s="162">
        <f>S29/M29-1</f>
        <v>1.0812274368231045</v>
      </c>
    </row>
    <row r="30" spans="1:21" s="39" customFormat="1" ht="13.5" customHeight="1" thickBot="1">
      <c r="A30" s="150" t="s">
        <v>48</v>
      </c>
      <c r="B30" s="97"/>
      <c r="C30" s="114"/>
      <c r="D30" s="114"/>
      <c r="E30" s="114"/>
      <c r="F30" s="114"/>
      <c r="G30" s="115"/>
      <c r="H30" s="116"/>
      <c r="I30" s="116"/>
      <c r="J30" s="139"/>
      <c r="K30" s="139"/>
      <c r="L30" s="112"/>
      <c r="M30" s="117">
        <f aca="true" t="shared" si="18" ref="M30:R30">M29/C29</f>
        <v>0.22005958291956307</v>
      </c>
      <c r="N30" s="117">
        <f t="shared" si="18"/>
        <v>0.26004775169120575</v>
      </c>
      <c r="O30" s="117">
        <f t="shared" si="18"/>
        <v>0.25394079200307573</v>
      </c>
      <c r="P30" s="117">
        <f t="shared" si="18"/>
        <v>0.33194494748279607</v>
      </c>
      <c r="Q30" s="117">
        <f t="shared" si="18"/>
        <v>0.30047667688117125</v>
      </c>
      <c r="R30" s="117">
        <f t="shared" si="18"/>
        <v>0.28993186979560936</v>
      </c>
      <c r="S30" s="117">
        <f>S29/I29</f>
        <v>0.3025849626033329</v>
      </c>
      <c r="T30" s="163"/>
      <c r="U30" s="140"/>
    </row>
    <row r="31" spans="1:20" s="10" customFormat="1" ht="12.75">
      <c r="A31" s="45"/>
      <c r="B31" s="20"/>
      <c r="C31" s="21"/>
      <c r="D31" s="21"/>
      <c r="E31" s="21"/>
      <c r="F31" s="21"/>
      <c r="G31" s="22"/>
      <c r="H31" s="23"/>
      <c r="I31" s="24"/>
      <c r="J31" s="6"/>
      <c r="L31" s="6"/>
      <c r="M31" s="25"/>
      <c r="N31" s="25"/>
      <c r="O31" s="25"/>
      <c r="P31" s="25"/>
      <c r="Q31" s="25"/>
      <c r="R31" s="25"/>
      <c r="S31" s="25"/>
      <c r="T31" s="6"/>
    </row>
    <row r="32" spans="1:20" s="10" customFormat="1" ht="12.75">
      <c r="A32" s="45"/>
      <c r="B32" s="20"/>
      <c r="C32" s="21"/>
      <c r="D32" s="21"/>
      <c r="E32" s="21"/>
      <c r="F32" s="21"/>
      <c r="G32" s="22"/>
      <c r="H32" s="23"/>
      <c r="I32" s="24"/>
      <c r="J32" s="6"/>
      <c r="L32" s="6"/>
      <c r="M32" s="25"/>
      <c r="N32" s="25"/>
      <c r="O32" s="25"/>
      <c r="P32" s="25"/>
      <c r="Q32" s="25"/>
      <c r="R32" s="25"/>
      <c r="S32" s="25"/>
      <c r="T32" s="6"/>
    </row>
    <row r="33" ht="13.5" thickBot="1">
      <c r="A33" s="47" t="s">
        <v>45</v>
      </c>
    </row>
    <row r="34" spans="1:20" s="10" customFormat="1" ht="12.75" customHeight="1" hidden="1">
      <c r="A34" s="66" t="s">
        <v>0</v>
      </c>
      <c r="B34" s="67" t="s">
        <v>1</v>
      </c>
      <c r="C34" s="68">
        <f>51+54</f>
        <v>105</v>
      </c>
      <c r="D34" s="68">
        <f>83+41</f>
        <v>124</v>
      </c>
      <c r="E34" s="68">
        <v>130</v>
      </c>
      <c r="F34" s="69">
        <v>149</v>
      </c>
      <c r="G34" s="68">
        <v>150</v>
      </c>
      <c r="H34" s="70">
        <v>172</v>
      </c>
      <c r="I34" s="71">
        <v>191</v>
      </c>
      <c r="J34" s="72">
        <f aca="true" t="shared" si="19" ref="J34:J52">I34/H34-1</f>
        <v>0.11046511627906974</v>
      </c>
      <c r="L34" s="73"/>
      <c r="M34" s="68">
        <v>21</v>
      </c>
      <c r="N34" s="68">
        <v>43</v>
      </c>
      <c r="O34" s="69">
        <v>52</v>
      </c>
      <c r="P34" s="74">
        <v>56</v>
      </c>
      <c r="Q34" s="67">
        <v>50</v>
      </c>
      <c r="R34" s="75">
        <v>67</v>
      </c>
      <c r="S34" s="76">
        <v>70</v>
      </c>
      <c r="T34" s="77">
        <f aca="true" t="shared" si="20" ref="T34:T52">S34/R34-1</f>
        <v>0.04477611940298498</v>
      </c>
    </row>
    <row r="35" spans="1:23" s="27" customFormat="1" ht="12.75" customHeight="1" hidden="1">
      <c r="A35" s="78" t="s">
        <v>18</v>
      </c>
      <c r="B35" s="1" t="s">
        <v>1</v>
      </c>
      <c r="C35" s="2">
        <f>54+57</f>
        <v>111</v>
      </c>
      <c r="D35" s="2">
        <f>101+31</f>
        <v>132</v>
      </c>
      <c r="E35" s="2">
        <v>124</v>
      </c>
      <c r="F35" s="3">
        <v>137</v>
      </c>
      <c r="G35" s="2">
        <v>142</v>
      </c>
      <c r="H35" s="4">
        <v>164</v>
      </c>
      <c r="I35" s="19">
        <v>153</v>
      </c>
      <c r="J35" s="56">
        <f t="shared" si="19"/>
        <v>-0.06707317073170727</v>
      </c>
      <c r="K35" s="10"/>
      <c r="L35" s="6"/>
      <c r="M35" s="2">
        <v>43</v>
      </c>
      <c r="N35" s="2">
        <v>48</v>
      </c>
      <c r="O35" s="3">
        <v>33</v>
      </c>
      <c r="P35" s="7">
        <v>52</v>
      </c>
      <c r="Q35" s="1">
        <v>44</v>
      </c>
      <c r="R35" s="8">
        <v>54</v>
      </c>
      <c r="S35" s="48">
        <v>49</v>
      </c>
      <c r="T35" s="79">
        <f t="shared" si="20"/>
        <v>-0.09259259259259256</v>
      </c>
      <c r="U35" s="10"/>
      <c r="V35" s="10"/>
      <c r="W35" s="10"/>
    </row>
    <row r="36" spans="1:20" s="10" customFormat="1" ht="12.75" customHeight="1" hidden="1">
      <c r="A36" s="78" t="s">
        <v>21</v>
      </c>
      <c r="B36" s="1" t="s">
        <v>22</v>
      </c>
      <c r="C36" s="2">
        <f>38+50</f>
        <v>88</v>
      </c>
      <c r="D36" s="2">
        <f>77+28</f>
        <v>105</v>
      </c>
      <c r="E36" s="2">
        <v>88</v>
      </c>
      <c r="F36" s="3">
        <v>95</v>
      </c>
      <c r="G36" s="2">
        <v>101</v>
      </c>
      <c r="H36" s="4">
        <v>111</v>
      </c>
      <c r="I36" s="19">
        <v>122</v>
      </c>
      <c r="J36" s="56">
        <f t="shared" si="19"/>
        <v>0.0990990990990992</v>
      </c>
      <c r="L36" s="6"/>
      <c r="M36" s="2">
        <v>36</v>
      </c>
      <c r="N36" s="2">
        <v>51</v>
      </c>
      <c r="O36" s="3">
        <v>29</v>
      </c>
      <c r="P36" s="7">
        <v>33</v>
      </c>
      <c r="Q36" s="1">
        <v>38</v>
      </c>
      <c r="R36" s="8">
        <v>50</v>
      </c>
      <c r="S36" s="48">
        <v>40</v>
      </c>
      <c r="T36" s="79">
        <f t="shared" si="20"/>
        <v>-0.19999999999999996</v>
      </c>
    </row>
    <row r="37" spans="1:20" s="10" customFormat="1" ht="12.75" customHeight="1" hidden="1">
      <c r="A37" s="174" t="s">
        <v>21</v>
      </c>
      <c r="B37" s="182" t="s">
        <v>23</v>
      </c>
      <c r="C37" s="176">
        <f>69+102</f>
        <v>171</v>
      </c>
      <c r="D37" s="176">
        <f>142+52</f>
        <v>194</v>
      </c>
      <c r="E37" s="176">
        <v>190</v>
      </c>
      <c r="F37" s="177">
        <v>193</v>
      </c>
      <c r="G37" s="176">
        <v>201</v>
      </c>
      <c r="H37" s="178">
        <v>200</v>
      </c>
      <c r="I37" s="179">
        <v>194</v>
      </c>
      <c r="J37" s="180">
        <f t="shared" si="19"/>
        <v>-0.030000000000000027</v>
      </c>
      <c r="L37" s="6"/>
      <c r="M37" s="176">
        <v>57</v>
      </c>
      <c r="N37" s="176">
        <v>77</v>
      </c>
      <c r="O37" s="177">
        <v>24</v>
      </c>
      <c r="P37" s="181">
        <v>78</v>
      </c>
      <c r="Q37" s="182">
        <v>85</v>
      </c>
      <c r="R37" s="183">
        <v>74</v>
      </c>
      <c r="S37" s="192">
        <v>61</v>
      </c>
      <c r="T37" s="185">
        <f t="shared" si="20"/>
        <v>-0.17567567567567566</v>
      </c>
    </row>
    <row r="38" spans="1:21" s="39" customFormat="1" ht="12" customHeight="1">
      <c r="A38" s="247" t="s">
        <v>37</v>
      </c>
      <c r="B38" s="248"/>
      <c r="C38" s="186">
        <f aca="true" t="shared" si="21" ref="C38:I38">SUM(C34:C37)</f>
        <v>475</v>
      </c>
      <c r="D38" s="186">
        <f t="shared" si="21"/>
        <v>555</v>
      </c>
      <c r="E38" s="186">
        <f t="shared" si="21"/>
        <v>532</v>
      </c>
      <c r="F38" s="186">
        <f t="shared" si="21"/>
        <v>574</v>
      </c>
      <c r="G38" s="186">
        <f t="shared" si="21"/>
        <v>594</v>
      </c>
      <c r="H38" s="186">
        <f t="shared" si="21"/>
        <v>647</v>
      </c>
      <c r="I38" s="187">
        <f t="shared" si="21"/>
        <v>660</v>
      </c>
      <c r="J38" s="188">
        <f t="shared" si="19"/>
        <v>0.020092735703245657</v>
      </c>
      <c r="K38" s="189">
        <f aca="true" t="shared" si="22" ref="K38:K52">I38/C38-1</f>
        <v>0.3894736842105264</v>
      </c>
      <c r="L38" s="190"/>
      <c r="M38" s="186">
        <f aca="true" t="shared" si="23" ref="M38:S38">SUM(M34:M37)</f>
        <v>157</v>
      </c>
      <c r="N38" s="186">
        <f t="shared" si="23"/>
        <v>219</v>
      </c>
      <c r="O38" s="186">
        <f t="shared" si="23"/>
        <v>138</v>
      </c>
      <c r="P38" s="186">
        <f t="shared" si="23"/>
        <v>219</v>
      </c>
      <c r="Q38" s="186">
        <f t="shared" si="23"/>
        <v>217</v>
      </c>
      <c r="R38" s="186">
        <f t="shared" si="23"/>
        <v>245</v>
      </c>
      <c r="S38" s="187">
        <f t="shared" si="23"/>
        <v>220</v>
      </c>
      <c r="T38" s="188">
        <f t="shared" si="20"/>
        <v>-0.10204081632653061</v>
      </c>
      <c r="U38" s="191">
        <f>S38/M38-1</f>
        <v>0.4012738853503184</v>
      </c>
    </row>
    <row r="39" spans="1:21" s="10" customFormat="1" ht="12.75" customHeight="1" hidden="1">
      <c r="A39" s="78" t="s">
        <v>12</v>
      </c>
      <c r="B39" s="1" t="s">
        <v>14</v>
      </c>
      <c r="C39" s="2">
        <f>33+29</f>
        <v>62</v>
      </c>
      <c r="D39" s="2">
        <f>57+15</f>
        <v>72</v>
      </c>
      <c r="E39" s="2">
        <v>72</v>
      </c>
      <c r="F39" s="3">
        <v>68</v>
      </c>
      <c r="G39" s="2">
        <v>106</v>
      </c>
      <c r="H39" s="4">
        <v>124</v>
      </c>
      <c r="I39" s="63">
        <v>142</v>
      </c>
      <c r="J39" s="56">
        <f t="shared" si="19"/>
        <v>0.14516129032258074</v>
      </c>
      <c r="K39" s="79">
        <f t="shared" si="22"/>
        <v>1.2903225806451615</v>
      </c>
      <c r="L39" s="6"/>
      <c r="M39" s="2">
        <v>23</v>
      </c>
      <c r="N39" s="2">
        <v>24</v>
      </c>
      <c r="O39" s="3">
        <v>31</v>
      </c>
      <c r="P39" s="7">
        <v>26</v>
      </c>
      <c r="Q39" s="1">
        <v>40</v>
      </c>
      <c r="R39" s="8">
        <v>40</v>
      </c>
      <c r="S39" s="50">
        <v>39</v>
      </c>
      <c r="T39" s="56">
        <f t="shared" si="20"/>
        <v>-0.025000000000000022</v>
      </c>
      <c r="U39" s="167">
        <f aca="true" t="shared" si="24" ref="U39:U51">S39/M39-1</f>
        <v>0.6956521739130435</v>
      </c>
    </row>
    <row r="40" spans="1:23" s="27" customFormat="1" ht="12.75" customHeight="1" hidden="1">
      <c r="A40" s="78" t="s">
        <v>3</v>
      </c>
      <c r="B40" s="1" t="s">
        <v>4</v>
      </c>
      <c r="C40" s="2">
        <v>141</v>
      </c>
      <c r="D40" s="2">
        <v>171</v>
      </c>
      <c r="E40" s="2">
        <v>215</v>
      </c>
      <c r="F40" s="3">
        <v>253</v>
      </c>
      <c r="G40" s="2">
        <v>272</v>
      </c>
      <c r="H40" s="4">
        <v>310</v>
      </c>
      <c r="I40" s="19">
        <v>289</v>
      </c>
      <c r="J40" s="56">
        <f t="shared" si="19"/>
        <v>-0.06774193548387097</v>
      </c>
      <c r="K40" s="79">
        <f t="shared" si="22"/>
        <v>1.0496453900709222</v>
      </c>
      <c r="L40" s="6"/>
      <c r="M40" s="2">
        <v>42</v>
      </c>
      <c r="N40" s="2">
        <v>58</v>
      </c>
      <c r="O40" s="3">
        <v>84</v>
      </c>
      <c r="P40" s="7">
        <v>92</v>
      </c>
      <c r="Q40" s="1">
        <v>74</v>
      </c>
      <c r="R40" s="8">
        <v>107</v>
      </c>
      <c r="S40" s="48">
        <v>105</v>
      </c>
      <c r="T40" s="56">
        <f t="shared" si="20"/>
        <v>-0.01869158878504673</v>
      </c>
      <c r="U40" s="167">
        <f t="shared" si="24"/>
        <v>1.5</v>
      </c>
      <c r="V40" s="10"/>
      <c r="W40" s="10"/>
    </row>
    <row r="41" spans="1:21" s="39" customFormat="1" ht="12" customHeight="1">
      <c r="A41" s="238" t="s">
        <v>38</v>
      </c>
      <c r="B41" s="239"/>
      <c r="C41" s="38">
        <f aca="true" t="shared" si="25" ref="C41:I41">SUM(C39:C40)</f>
        <v>203</v>
      </c>
      <c r="D41" s="38">
        <f t="shared" si="25"/>
        <v>243</v>
      </c>
      <c r="E41" s="38">
        <f t="shared" si="25"/>
        <v>287</v>
      </c>
      <c r="F41" s="38">
        <f t="shared" si="25"/>
        <v>321</v>
      </c>
      <c r="G41" s="38">
        <f t="shared" si="25"/>
        <v>378</v>
      </c>
      <c r="H41" s="38">
        <f t="shared" si="25"/>
        <v>434</v>
      </c>
      <c r="I41" s="51">
        <f t="shared" si="25"/>
        <v>431</v>
      </c>
      <c r="J41" s="58">
        <f t="shared" si="19"/>
        <v>-0.00691244239631339</v>
      </c>
      <c r="K41" s="81">
        <f t="shared" si="22"/>
        <v>1.1231527093596059</v>
      </c>
      <c r="L41" s="41"/>
      <c r="M41" s="38">
        <f aca="true" t="shared" si="26" ref="M41:S41">SUM(M39:M40)</f>
        <v>65</v>
      </c>
      <c r="N41" s="38">
        <f t="shared" si="26"/>
        <v>82</v>
      </c>
      <c r="O41" s="38">
        <f t="shared" si="26"/>
        <v>115</v>
      </c>
      <c r="P41" s="38">
        <f t="shared" si="26"/>
        <v>118</v>
      </c>
      <c r="Q41" s="38">
        <f t="shared" si="26"/>
        <v>114</v>
      </c>
      <c r="R41" s="38">
        <f t="shared" si="26"/>
        <v>147</v>
      </c>
      <c r="S41" s="51">
        <f t="shared" si="26"/>
        <v>144</v>
      </c>
      <c r="T41" s="58">
        <f t="shared" si="20"/>
        <v>-0.020408163265306145</v>
      </c>
      <c r="U41" s="168">
        <f t="shared" si="24"/>
        <v>1.2153846153846155</v>
      </c>
    </row>
    <row r="42" spans="1:21" s="10" customFormat="1" ht="12.75" customHeight="1" hidden="1">
      <c r="A42" s="78" t="s">
        <v>15</v>
      </c>
      <c r="B42" s="1" t="s">
        <v>16</v>
      </c>
      <c r="C42" s="2">
        <f>30+48</f>
        <v>78</v>
      </c>
      <c r="D42" s="2">
        <f>61+23</f>
        <v>84</v>
      </c>
      <c r="E42" s="2">
        <v>137</v>
      </c>
      <c r="F42" s="3">
        <v>154</v>
      </c>
      <c r="G42" s="2">
        <v>191</v>
      </c>
      <c r="H42" s="4">
        <v>199</v>
      </c>
      <c r="I42" s="19">
        <f>154+71</f>
        <v>225</v>
      </c>
      <c r="J42" s="56">
        <f t="shared" si="19"/>
        <v>0.1306532663316582</v>
      </c>
      <c r="K42" s="79">
        <f t="shared" si="22"/>
        <v>1.8846153846153846</v>
      </c>
      <c r="L42" s="6"/>
      <c r="M42" s="2">
        <v>20</v>
      </c>
      <c r="N42" s="2">
        <v>34</v>
      </c>
      <c r="O42" s="3">
        <v>52</v>
      </c>
      <c r="P42" s="7">
        <v>51</v>
      </c>
      <c r="Q42" s="1">
        <v>69</v>
      </c>
      <c r="R42" s="8">
        <v>57</v>
      </c>
      <c r="S42" s="48">
        <v>57</v>
      </c>
      <c r="T42" s="56">
        <f t="shared" si="20"/>
        <v>0</v>
      </c>
      <c r="U42" s="167">
        <f t="shared" si="24"/>
        <v>1.85</v>
      </c>
    </row>
    <row r="43" spans="1:21" s="10" customFormat="1" ht="12.75" customHeight="1" hidden="1">
      <c r="A43" s="78" t="s">
        <v>19</v>
      </c>
      <c r="B43" s="1" t="s">
        <v>20</v>
      </c>
      <c r="C43" s="2">
        <f>33+42</f>
        <v>75</v>
      </c>
      <c r="D43" s="2">
        <f>59+20</f>
        <v>79</v>
      </c>
      <c r="E43" s="2">
        <v>90</v>
      </c>
      <c r="F43" s="3">
        <v>88</v>
      </c>
      <c r="G43" s="2">
        <v>78</v>
      </c>
      <c r="H43" s="4">
        <v>100</v>
      </c>
      <c r="I43" s="19">
        <v>105</v>
      </c>
      <c r="J43" s="56">
        <f t="shared" si="19"/>
        <v>0.050000000000000044</v>
      </c>
      <c r="K43" s="79">
        <f t="shared" si="22"/>
        <v>0.3999999999999999</v>
      </c>
      <c r="L43" s="6"/>
      <c r="M43" s="2">
        <v>23</v>
      </c>
      <c r="N43" s="2">
        <v>30</v>
      </c>
      <c r="O43" s="3">
        <v>37</v>
      </c>
      <c r="P43" s="7">
        <v>32</v>
      </c>
      <c r="Q43" s="1">
        <v>28</v>
      </c>
      <c r="R43" s="8">
        <v>42</v>
      </c>
      <c r="S43" s="48">
        <v>39</v>
      </c>
      <c r="T43" s="56">
        <f t="shared" si="20"/>
        <v>-0.0714285714285714</v>
      </c>
      <c r="U43" s="167">
        <f t="shared" si="24"/>
        <v>0.6956521739130435</v>
      </c>
    </row>
    <row r="44" spans="1:21" s="10" customFormat="1" ht="12" customHeight="1">
      <c r="A44" s="240" t="s">
        <v>39</v>
      </c>
      <c r="B44" s="241"/>
      <c r="C44" s="42">
        <f aca="true" t="shared" si="27" ref="C44:I44">SUM(C42:C43)</f>
        <v>153</v>
      </c>
      <c r="D44" s="42">
        <f t="shared" si="27"/>
        <v>163</v>
      </c>
      <c r="E44" s="42">
        <f t="shared" si="27"/>
        <v>227</v>
      </c>
      <c r="F44" s="42">
        <f t="shared" si="27"/>
        <v>242</v>
      </c>
      <c r="G44" s="42">
        <f t="shared" si="27"/>
        <v>269</v>
      </c>
      <c r="H44" s="42">
        <f t="shared" si="27"/>
        <v>299</v>
      </c>
      <c r="I44" s="52">
        <f t="shared" si="27"/>
        <v>330</v>
      </c>
      <c r="J44" s="59">
        <f t="shared" si="19"/>
        <v>0.10367892976588622</v>
      </c>
      <c r="K44" s="82">
        <f t="shared" si="22"/>
        <v>1.156862745098039</v>
      </c>
      <c r="L44" s="41"/>
      <c r="M44" s="42">
        <f aca="true" t="shared" si="28" ref="M44:S44">SUM(M42:M43)</f>
        <v>43</v>
      </c>
      <c r="N44" s="42">
        <f t="shared" si="28"/>
        <v>64</v>
      </c>
      <c r="O44" s="42">
        <f t="shared" si="28"/>
        <v>89</v>
      </c>
      <c r="P44" s="42">
        <f t="shared" si="28"/>
        <v>83</v>
      </c>
      <c r="Q44" s="42">
        <f t="shared" si="28"/>
        <v>97</v>
      </c>
      <c r="R44" s="42">
        <f t="shared" si="28"/>
        <v>99</v>
      </c>
      <c r="S44" s="52">
        <f t="shared" si="28"/>
        <v>96</v>
      </c>
      <c r="T44" s="59">
        <f t="shared" si="20"/>
        <v>-0.030303030303030276</v>
      </c>
      <c r="U44" s="169">
        <f t="shared" si="24"/>
        <v>1.2325581395348837</v>
      </c>
    </row>
    <row r="45" spans="1:21" s="10" customFormat="1" ht="12.75" customHeight="1" hidden="1">
      <c r="A45" s="78" t="s">
        <v>26</v>
      </c>
      <c r="B45" s="1" t="s">
        <v>27</v>
      </c>
      <c r="C45" s="2">
        <f>34+44</f>
        <v>78</v>
      </c>
      <c r="D45" s="2">
        <f>55+23</f>
        <v>78</v>
      </c>
      <c r="E45" s="2">
        <v>75</v>
      </c>
      <c r="F45" s="3">
        <v>75</v>
      </c>
      <c r="G45" s="2">
        <v>73</v>
      </c>
      <c r="H45" s="4">
        <v>81</v>
      </c>
      <c r="I45" s="19">
        <v>80</v>
      </c>
      <c r="J45" s="56">
        <f t="shared" si="19"/>
        <v>-0.012345679012345734</v>
      </c>
      <c r="K45" s="79">
        <f t="shared" si="22"/>
        <v>0.02564102564102555</v>
      </c>
      <c r="L45" s="6"/>
      <c r="M45" s="2">
        <v>16</v>
      </c>
      <c r="N45" s="2">
        <v>28</v>
      </c>
      <c r="O45" s="3">
        <v>26</v>
      </c>
      <c r="P45" s="7">
        <v>26</v>
      </c>
      <c r="Q45" s="1">
        <v>24</v>
      </c>
      <c r="R45" s="8">
        <v>26</v>
      </c>
      <c r="S45" s="48">
        <v>28</v>
      </c>
      <c r="T45" s="56">
        <f t="shared" si="20"/>
        <v>0.07692307692307687</v>
      </c>
      <c r="U45" s="167">
        <f t="shared" si="24"/>
        <v>0.75</v>
      </c>
    </row>
    <row r="46" spans="1:21" s="10" customFormat="1" ht="12.75" customHeight="1" hidden="1">
      <c r="A46" s="78" t="s">
        <v>29</v>
      </c>
      <c r="B46" s="1" t="s">
        <v>27</v>
      </c>
      <c r="C46" s="2">
        <f>39+27</f>
        <v>66</v>
      </c>
      <c r="D46" s="2">
        <f>56+10</f>
        <v>66</v>
      </c>
      <c r="E46" s="2">
        <v>68</v>
      </c>
      <c r="F46" s="3">
        <v>69</v>
      </c>
      <c r="G46" s="2">
        <v>70</v>
      </c>
      <c r="H46" s="4">
        <v>68</v>
      </c>
      <c r="I46" s="19">
        <f>74</f>
        <v>74</v>
      </c>
      <c r="J46" s="56">
        <f t="shared" si="19"/>
        <v>0.08823529411764697</v>
      </c>
      <c r="K46" s="79">
        <f t="shared" si="22"/>
        <v>0.1212121212121211</v>
      </c>
      <c r="L46" s="6"/>
      <c r="M46" s="2">
        <v>23</v>
      </c>
      <c r="N46" s="2">
        <v>26</v>
      </c>
      <c r="O46" s="3">
        <v>22</v>
      </c>
      <c r="P46" s="7">
        <v>28</v>
      </c>
      <c r="Q46" s="1">
        <v>23</v>
      </c>
      <c r="R46" s="8">
        <v>27</v>
      </c>
      <c r="S46" s="48">
        <v>25</v>
      </c>
      <c r="T46" s="56">
        <f t="shared" si="20"/>
        <v>-0.07407407407407407</v>
      </c>
      <c r="U46" s="167">
        <f t="shared" si="24"/>
        <v>0.08695652173913038</v>
      </c>
    </row>
    <row r="47" spans="1:21" s="18" customFormat="1" ht="12" customHeight="1">
      <c r="A47" s="242" t="s">
        <v>40</v>
      </c>
      <c r="B47" s="244"/>
      <c r="C47" s="43">
        <f aca="true" t="shared" si="29" ref="C47:I47">SUM(C45:C46)</f>
        <v>144</v>
      </c>
      <c r="D47" s="43">
        <f t="shared" si="29"/>
        <v>144</v>
      </c>
      <c r="E47" s="43">
        <f t="shared" si="29"/>
        <v>143</v>
      </c>
      <c r="F47" s="43">
        <f t="shared" si="29"/>
        <v>144</v>
      </c>
      <c r="G47" s="43">
        <f t="shared" si="29"/>
        <v>143</v>
      </c>
      <c r="H47" s="43">
        <f t="shared" si="29"/>
        <v>149</v>
      </c>
      <c r="I47" s="53">
        <f t="shared" si="29"/>
        <v>154</v>
      </c>
      <c r="J47" s="60">
        <f t="shared" si="19"/>
        <v>0.033557046979865834</v>
      </c>
      <c r="K47" s="83">
        <f t="shared" si="22"/>
        <v>0.06944444444444442</v>
      </c>
      <c r="L47" s="41"/>
      <c r="M47" s="43">
        <f aca="true" t="shared" si="30" ref="M47:S47">SUM(M45:M46)</f>
        <v>39</v>
      </c>
      <c r="N47" s="43">
        <f t="shared" si="30"/>
        <v>54</v>
      </c>
      <c r="O47" s="43">
        <f t="shared" si="30"/>
        <v>48</v>
      </c>
      <c r="P47" s="43">
        <f t="shared" si="30"/>
        <v>54</v>
      </c>
      <c r="Q47" s="43">
        <f t="shared" si="30"/>
        <v>47</v>
      </c>
      <c r="R47" s="43">
        <f t="shared" si="30"/>
        <v>53</v>
      </c>
      <c r="S47" s="53">
        <f t="shared" si="30"/>
        <v>53</v>
      </c>
      <c r="T47" s="60">
        <f t="shared" si="20"/>
        <v>0</v>
      </c>
      <c r="U47" s="170">
        <f t="shared" si="24"/>
        <v>0.35897435897435903</v>
      </c>
    </row>
    <row r="48" spans="1:21" s="10" customFormat="1" ht="12.75" customHeight="1" hidden="1">
      <c r="A48" s="78" t="s">
        <v>5</v>
      </c>
      <c r="B48" s="1" t="s">
        <v>6</v>
      </c>
      <c r="C48" s="2">
        <f>39+37</f>
        <v>76</v>
      </c>
      <c r="D48" s="2">
        <f>70+17</f>
        <v>87</v>
      </c>
      <c r="E48" s="2">
        <v>94</v>
      </c>
      <c r="F48" s="3">
        <v>112</v>
      </c>
      <c r="G48" s="2">
        <v>134</v>
      </c>
      <c r="H48" s="4">
        <v>152</v>
      </c>
      <c r="I48" s="19">
        <v>173</v>
      </c>
      <c r="J48" s="56">
        <f t="shared" si="19"/>
        <v>0.13815789473684204</v>
      </c>
      <c r="K48" s="79">
        <f t="shared" si="22"/>
        <v>1.276315789473684</v>
      </c>
      <c r="L48" s="6"/>
      <c r="M48" s="2">
        <v>25</v>
      </c>
      <c r="N48" s="2">
        <v>40</v>
      </c>
      <c r="O48" s="3">
        <v>32</v>
      </c>
      <c r="P48" s="7">
        <v>42</v>
      </c>
      <c r="Q48" s="1">
        <v>45</v>
      </c>
      <c r="R48" s="8">
        <v>56</v>
      </c>
      <c r="S48" s="48">
        <v>36</v>
      </c>
      <c r="T48" s="56">
        <f t="shared" si="20"/>
        <v>-0.3571428571428571</v>
      </c>
      <c r="U48" s="167">
        <f t="shared" si="24"/>
        <v>0.43999999999999995</v>
      </c>
    </row>
    <row r="49" spans="1:21" s="18" customFormat="1" ht="12" customHeight="1">
      <c r="A49" s="228" t="s">
        <v>41</v>
      </c>
      <c r="B49" s="246"/>
      <c r="C49" s="64">
        <f aca="true" t="shared" si="31" ref="C49:I49">SUM(C51)</f>
        <v>135</v>
      </c>
      <c r="D49" s="64">
        <f t="shared" si="31"/>
        <v>120</v>
      </c>
      <c r="E49" s="64">
        <f t="shared" si="31"/>
        <v>136</v>
      </c>
      <c r="F49" s="64">
        <f t="shared" si="31"/>
        <v>145</v>
      </c>
      <c r="G49" s="64">
        <f t="shared" si="31"/>
        <v>173</v>
      </c>
      <c r="H49" s="64">
        <f t="shared" si="31"/>
        <v>231</v>
      </c>
      <c r="I49" s="64">
        <f t="shared" si="31"/>
        <v>215</v>
      </c>
      <c r="J49" s="65">
        <f t="shared" si="19"/>
        <v>-0.06926406926406925</v>
      </c>
      <c r="K49" s="86">
        <f t="shared" si="22"/>
        <v>0.5925925925925926</v>
      </c>
      <c r="L49" s="41"/>
      <c r="M49" s="64">
        <f aca="true" t="shared" si="32" ref="M49:S49">SUM(M51)</f>
        <v>32</v>
      </c>
      <c r="N49" s="64">
        <f t="shared" si="32"/>
        <v>42</v>
      </c>
      <c r="O49" s="64">
        <f t="shared" si="32"/>
        <v>40</v>
      </c>
      <c r="P49" s="64">
        <f t="shared" si="32"/>
        <v>54</v>
      </c>
      <c r="Q49" s="64">
        <f t="shared" si="32"/>
        <v>52</v>
      </c>
      <c r="R49" s="64">
        <f t="shared" si="32"/>
        <v>60</v>
      </c>
      <c r="S49" s="64">
        <f t="shared" si="32"/>
        <v>49</v>
      </c>
      <c r="T49" s="65">
        <f t="shared" si="20"/>
        <v>-0.18333333333333335</v>
      </c>
      <c r="U49" s="171">
        <f>S49/M49-1</f>
        <v>0.53125</v>
      </c>
    </row>
    <row r="50" spans="1:21" s="10" customFormat="1" ht="12" customHeight="1" thickBot="1">
      <c r="A50" s="226" t="s">
        <v>42</v>
      </c>
      <c r="B50" s="245"/>
      <c r="C50" s="44">
        <f aca="true" t="shared" si="33" ref="C50:I50">SUM(C48)</f>
        <v>76</v>
      </c>
      <c r="D50" s="44">
        <f t="shared" si="33"/>
        <v>87</v>
      </c>
      <c r="E50" s="44">
        <f t="shared" si="33"/>
        <v>94</v>
      </c>
      <c r="F50" s="44">
        <f t="shared" si="33"/>
        <v>112</v>
      </c>
      <c r="G50" s="44">
        <f t="shared" si="33"/>
        <v>134</v>
      </c>
      <c r="H50" s="44">
        <f t="shared" si="33"/>
        <v>152</v>
      </c>
      <c r="I50" s="54">
        <f t="shared" si="33"/>
        <v>173</v>
      </c>
      <c r="J50" s="61">
        <f t="shared" si="19"/>
        <v>0.13815789473684204</v>
      </c>
      <c r="K50" s="84">
        <f t="shared" si="22"/>
        <v>1.276315789473684</v>
      </c>
      <c r="L50" s="41"/>
      <c r="M50" s="44">
        <f aca="true" t="shared" si="34" ref="M50:S50">SUM(M48)</f>
        <v>25</v>
      </c>
      <c r="N50" s="44">
        <f t="shared" si="34"/>
        <v>40</v>
      </c>
      <c r="O50" s="44">
        <f t="shared" si="34"/>
        <v>32</v>
      </c>
      <c r="P50" s="44">
        <f t="shared" si="34"/>
        <v>42</v>
      </c>
      <c r="Q50" s="44">
        <f t="shared" si="34"/>
        <v>45</v>
      </c>
      <c r="R50" s="44">
        <f t="shared" si="34"/>
        <v>56</v>
      </c>
      <c r="S50" s="54">
        <f t="shared" si="34"/>
        <v>36</v>
      </c>
      <c r="T50" s="61">
        <f t="shared" si="20"/>
        <v>-0.3571428571428571</v>
      </c>
      <c r="U50" s="172">
        <f t="shared" si="24"/>
        <v>0.43999999999999995</v>
      </c>
    </row>
    <row r="51" spans="1:21" s="10" customFormat="1" ht="12.75" customHeight="1" hidden="1">
      <c r="A51" s="78" t="s">
        <v>24</v>
      </c>
      <c r="B51" s="28" t="s">
        <v>25</v>
      </c>
      <c r="C51" s="29">
        <f>62+73</f>
        <v>135</v>
      </c>
      <c r="D51" s="29">
        <f>88+32</f>
        <v>120</v>
      </c>
      <c r="E51" s="29">
        <v>136</v>
      </c>
      <c r="F51" s="30">
        <v>145</v>
      </c>
      <c r="G51" s="29">
        <v>173</v>
      </c>
      <c r="H51" s="29">
        <v>231</v>
      </c>
      <c r="I51" s="51">
        <v>215</v>
      </c>
      <c r="J51" s="62">
        <f t="shared" si="19"/>
        <v>-0.06926406926406925</v>
      </c>
      <c r="K51" s="85">
        <f t="shared" si="22"/>
        <v>0.5925925925925926</v>
      </c>
      <c r="L51" s="6"/>
      <c r="M51" s="29">
        <v>32</v>
      </c>
      <c r="N51" s="29">
        <v>42</v>
      </c>
      <c r="O51" s="30">
        <v>40</v>
      </c>
      <c r="P51" s="31">
        <v>54</v>
      </c>
      <c r="Q51" s="28">
        <v>52</v>
      </c>
      <c r="R51" s="28">
        <v>60</v>
      </c>
      <c r="S51" s="55">
        <v>49</v>
      </c>
      <c r="T51" s="62">
        <f t="shared" si="20"/>
        <v>-0.18333333333333335</v>
      </c>
      <c r="U51" s="173">
        <f t="shared" si="24"/>
        <v>0.53125</v>
      </c>
    </row>
    <row r="52" spans="1:21" s="10" customFormat="1" ht="15" customHeight="1">
      <c r="A52" s="196" t="s">
        <v>43</v>
      </c>
      <c r="B52" s="122"/>
      <c r="C52" s="120">
        <f aca="true" t="shared" si="35" ref="C52:I52">SUM(C38)+C41+C44+C47+C50+C49</f>
        <v>1186</v>
      </c>
      <c r="D52" s="120">
        <f t="shared" si="35"/>
        <v>1312</v>
      </c>
      <c r="E52" s="120">
        <f t="shared" si="35"/>
        <v>1419</v>
      </c>
      <c r="F52" s="120">
        <f t="shared" si="35"/>
        <v>1538</v>
      </c>
      <c r="G52" s="120">
        <f t="shared" si="35"/>
        <v>1691</v>
      </c>
      <c r="H52" s="120">
        <f t="shared" si="35"/>
        <v>1912</v>
      </c>
      <c r="I52" s="120">
        <f t="shared" si="35"/>
        <v>1963</v>
      </c>
      <c r="J52" s="128">
        <f t="shared" si="19"/>
        <v>0.026673640167363954</v>
      </c>
      <c r="K52" s="128">
        <f t="shared" si="22"/>
        <v>0.6551433389544687</v>
      </c>
      <c r="L52" s="121"/>
      <c r="M52" s="120">
        <f aca="true" t="shared" si="36" ref="M52:S52">SUM(M38)+M41+M44+M47+M50+M49</f>
        <v>361</v>
      </c>
      <c r="N52" s="120">
        <f t="shared" si="36"/>
        <v>501</v>
      </c>
      <c r="O52" s="120">
        <f t="shared" si="36"/>
        <v>462</v>
      </c>
      <c r="P52" s="120">
        <f t="shared" si="36"/>
        <v>570</v>
      </c>
      <c r="Q52" s="120">
        <f t="shared" si="36"/>
        <v>572</v>
      </c>
      <c r="R52" s="120">
        <f t="shared" si="36"/>
        <v>660</v>
      </c>
      <c r="S52" s="120">
        <f t="shared" si="36"/>
        <v>598</v>
      </c>
      <c r="T52" s="165">
        <f t="shared" si="20"/>
        <v>-0.09393939393939399</v>
      </c>
      <c r="U52" s="164">
        <f>S52/M52-1</f>
        <v>0.6565096952908587</v>
      </c>
    </row>
    <row r="53" spans="1:21" s="10" customFormat="1" ht="15" customHeight="1" thickBot="1">
      <c r="A53" s="152" t="s">
        <v>48</v>
      </c>
      <c r="B53" s="87"/>
      <c r="C53" s="114"/>
      <c r="D53" s="114"/>
      <c r="E53" s="114"/>
      <c r="F53" s="114"/>
      <c r="G53" s="115"/>
      <c r="H53" s="116"/>
      <c r="I53" s="116"/>
      <c r="J53" s="129"/>
      <c r="K53" s="161"/>
      <c r="L53" s="112"/>
      <c r="M53" s="117">
        <f aca="true" t="shared" si="37" ref="M53:S53">M52/C52</f>
        <v>0.30438448566610454</v>
      </c>
      <c r="N53" s="117">
        <f t="shared" si="37"/>
        <v>0.38185975609756095</v>
      </c>
      <c r="O53" s="117">
        <f t="shared" si="37"/>
        <v>0.32558139534883723</v>
      </c>
      <c r="P53" s="117">
        <f t="shared" si="37"/>
        <v>0.3706111833550065</v>
      </c>
      <c r="Q53" s="117">
        <f t="shared" si="37"/>
        <v>0.33826138379657006</v>
      </c>
      <c r="R53" s="117">
        <f t="shared" si="37"/>
        <v>0.34518828451882844</v>
      </c>
      <c r="S53" s="117">
        <f t="shared" si="37"/>
        <v>0.304635761589404</v>
      </c>
      <c r="T53" s="166"/>
      <c r="U53" s="129"/>
    </row>
    <row r="56" ht="13.5" thickBot="1">
      <c r="A56" s="110" t="s">
        <v>46</v>
      </c>
    </row>
    <row r="57" spans="1:20" s="10" customFormat="1" ht="11.25" customHeight="1" hidden="1">
      <c r="A57" s="130" t="s">
        <v>10</v>
      </c>
      <c r="B57" s="131" t="s">
        <v>11</v>
      </c>
      <c r="C57" s="90">
        <v>94</v>
      </c>
      <c r="D57" s="90">
        <v>102</v>
      </c>
      <c r="E57" s="90">
        <v>127</v>
      </c>
      <c r="F57" s="90">
        <v>131</v>
      </c>
      <c r="G57" s="90">
        <v>143</v>
      </c>
      <c r="H57" s="90">
        <v>164</v>
      </c>
      <c r="I57" s="91">
        <v>190</v>
      </c>
      <c r="J57" s="106"/>
      <c r="K57" s="26"/>
      <c r="L57" s="73"/>
      <c r="M57" s="90">
        <v>31</v>
      </c>
      <c r="N57" s="90">
        <v>29</v>
      </c>
      <c r="O57" s="90">
        <v>45</v>
      </c>
      <c r="P57" s="89">
        <v>31</v>
      </c>
      <c r="Q57" s="89">
        <v>53</v>
      </c>
      <c r="R57" s="89">
        <v>44</v>
      </c>
      <c r="S57" s="92">
        <v>55</v>
      </c>
      <c r="T57" s="93"/>
    </row>
    <row r="58" spans="1:20" s="10" customFormat="1" ht="9" hidden="1" thickBot="1">
      <c r="A58" s="94"/>
      <c r="C58" s="26"/>
      <c r="D58" s="26"/>
      <c r="E58" s="26"/>
      <c r="F58" s="26"/>
      <c r="G58" s="26"/>
      <c r="H58" s="123"/>
      <c r="I58" s="124"/>
      <c r="L58" s="6"/>
      <c r="M58" s="26"/>
      <c r="N58" s="26"/>
      <c r="O58" s="26"/>
      <c r="R58" s="125"/>
      <c r="S58" s="126"/>
      <c r="T58" s="95"/>
    </row>
    <row r="59" spans="1:21" s="39" customFormat="1" ht="15.75" customHeight="1">
      <c r="A59" s="195" t="s">
        <v>43</v>
      </c>
      <c r="B59" s="142"/>
      <c r="C59" s="120">
        <f aca="true" t="shared" si="38" ref="C59:I59">SUM(C57:C57)</f>
        <v>94</v>
      </c>
      <c r="D59" s="120">
        <f t="shared" si="38"/>
        <v>102</v>
      </c>
      <c r="E59" s="120">
        <f t="shared" si="38"/>
        <v>127</v>
      </c>
      <c r="F59" s="120">
        <f t="shared" si="38"/>
        <v>131</v>
      </c>
      <c r="G59" s="120">
        <f t="shared" si="38"/>
        <v>143</v>
      </c>
      <c r="H59" s="120">
        <f t="shared" si="38"/>
        <v>164</v>
      </c>
      <c r="I59" s="120">
        <f t="shared" si="38"/>
        <v>190</v>
      </c>
      <c r="J59" s="143">
        <f>I57/H57-1</f>
        <v>0.15853658536585358</v>
      </c>
      <c r="K59" s="144">
        <f>I59/C59-1</f>
        <v>1.021276595744681</v>
      </c>
      <c r="L59" s="121"/>
      <c r="M59" s="120">
        <f aca="true" t="shared" si="39" ref="M59:S59">SUM(M57:M57)</f>
        <v>31</v>
      </c>
      <c r="N59" s="120">
        <f t="shared" si="39"/>
        <v>29</v>
      </c>
      <c r="O59" s="120">
        <f t="shared" si="39"/>
        <v>45</v>
      </c>
      <c r="P59" s="120">
        <f t="shared" si="39"/>
        <v>31</v>
      </c>
      <c r="Q59" s="120">
        <f t="shared" si="39"/>
        <v>53</v>
      </c>
      <c r="R59" s="120">
        <f t="shared" si="39"/>
        <v>44</v>
      </c>
      <c r="S59" s="120">
        <f t="shared" si="39"/>
        <v>55</v>
      </c>
      <c r="T59" s="143">
        <f>S59/R59-1</f>
        <v>0.25</v>
      </c>
      <c r="U59" s="194">
        <f>S59/M59-1</f>
        <v>0.7741935483870968</v>
      </c>
    </row>
    <row r="60" spans="1:21" ht="18" customHeight="1" thickBot="1">
      <c r="A60" s="154" t="s">
        <v>48</v>
      </c>
      <c r="B60" s="132"/>
      <c r="C60" s="141"/>
      <c r="D60" s="141"/>
      <c r="E60" s="141"/>
      <c r="F60" s="141"/>
      <c r="G60" s="141"/>
      <c r="H60" s="141"/>
      <c r="I60" s="141"/>
      <c r="J60" s="141"/>
      <c r="K60" s="132"/>
      <c r="L60" s="133"/>
      <c r="M60" s="117">
        <f aca="true" t="shared" si="40" ref="M60:S60">M59/C59</f>
        <v>0.32978723404255317</v>
      </c>
      <c r="N60" s="117">
        <f t="shared" si="40"/>
        <v>0.28431372549019607</v>
      </c>
      <c r="O60" s="117">
        <f t="shared" si="40"/>
        <v>0.3543307086614173</v>
      </c>
      <c r="P60" s="117">
        <f t="shared" si="40"/>
        <v>0.2366412213740458</v>
      </c>
      <c r="Q60" s="117">
        <f t="shared" si="40"/>
        <v>0.3706293706293706</v>
      </c>
      <c r="R60" s="117">
        <f t="shared" si="40"/>
        <v>0.2682926829268293</v>
      </c>
      <c r="S60" s="117">
        <f t="shared" si="40"/>
        <v>0.2894736842105263</v>
      </c>
      <c r="T60" s="141"/>
      <c r="U60" s="193"/>
    </row>
  </sheetData>
  <sheetProtection/>
  <mergeCells count="14">
    <mergeCell ref="A27:B27"/>
    <mergeCell ref="A26:B26"/>
    <mergeCell ref="A10:B10"/>
    <mergeCell ref="A15:B15"/>
    <mergeCell ref="C1:K1"/>
    <mergeCell ref="M1:U1"/>
    <mergeCell ref="A20:B20"/>
    <mergeCell ref="A23:B23"/>
    <mergeCell ref="A50:B50"/>
    <mergeCell ref="A49:B49"/>
    <mergeCell ref="A38:B38"/>
    <mergeCell ref="A41:B41"/>
    <mergeCell ref="A44:B44"/>
    <mergeCell ref="A47:B47"/>
  </mergeCells>
  <printOptions/>
  <pageMargins left="0.23" right="0.38" top="1" bottom="1" header="0.5" footer="0.5"/>
  <pageSetup horizontalDpi="600" verticalDpi="600" orientation="landscape" r:id="rId2"/>
  <headerFooter alignWithMargins="0">
    <oddFooter>&amp;LVHLORA Telling 4/10/2010&amp;CCijfers per provincie&amp;R&amp;P/&amp;N</oddFooter>
  </headerFooter>
  <rowBreaks count="2" manualBreakCount="2">
    <brk id="61" max="255" man="1"/>
    <brk id="9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E38" activeCellId="5" sqref="I26 I28 I28 I26 I28 E38"/>
    </sheetView>
  </sheetViews>
  <sheetFormatPr defaultColWidth="9.140625" defaultRowHeight="12.75"/>
  <cols>
    <col min="1" max="1" width="21.140625" style="0" bestFit="1" customWidth="1"/>
    <col min="4" max="4" width="8.7109375" style="0" customWidth="1"/>
  </cols>
  <sheetData>
    <row r="1" ht="12.75">
      <c r="A1" s="203" t="s">
        <v>53</v>
      </c>
    </row>
    <row r="2" ht="13.5" thickBot="1"/>
    <row r="3" spans="1:4" s="204" customFormat="1" ht="21" customHeight="1" thickBot="1">
      <c r="A3" s="207" t="s">
        <v>52</v>
      </c>
      <c r="B3" s="208">
        <v>2009</v>
      </c>
      <c r="C3" s="208">
        <v>2010</v>
      </c>
      <c r="D3" s="209" t="s">
        <v>50</v>
      </c>
    </row>
    <row r="4" spans="1:4" s="204" customFormat="1" ht="15" customHeight="1">
      <c r="A4" s="210" t="s">
        <v>39</v>
      </c>
      <c r="B4" s="206">
        <v>1295</v>
      </c>
      <c r="C4" s="206">
        <v>1371</v>
      </c>
      <c r="D4" s="211">
        <f aca="true" t="shared" si="0" ref="D4:D9">C4/B4-1</f>
        <v>0.05868725868725866</v>
      </c>
    </row>
    <row r="5" spans="1:4" s="204" customFormat="1" ht="15" customHeight="1">
      <c r="A5" s="212" t="s">
        <v>37</v>
      </c>
      <c r="B5" s="205">
        <v>1005</v>
      </c>
      <c r="C5" s="205">
        <v>1104</v>
      </c>
      <c r="D5" s="213">
        <f t="shared" si="0"/>
        <v>0.09850746268656718</v>
      </c>
    </row>
    <row r="6" spans="1:4" s="204" customFormat="1" ht="15" customHeight="1">
      <c r="A6" s="214" t="s">
        <v>38</v>
      </c>
      <c r="B6" s="205">
        <v>963</v>
      </c>
      <c r="C6" s="205">
        <v>1102</v>
      </c>
      <c r="D6" s="213">
        <f t="shared" si="0"/>
        <v>0.1443406022845275</v>
      </c>
    </row>
    <row r="7" spans="1:4" s="204" customFormat="1" ht="15" customHeight="1">
      <c r="A7" s="215" t="s">
        <v>40</v>
      </c>
      <c r="B7" s="205">
        <v>743</v>
      </c>
      <c r="C7" s="205">
        <v>851</v>
      </c>
      <c r="D7" s="213">
        <f t="shared" si="0"/>
        <v>0.14535666218034993</v>
      </c>
    </row>
    <row r="8" spans="1:4" s="204" customFormat="1" ht="15" customHeight="1">
      <c r="A8" s="216" t="s">
        <v>41</v>
      </c>
      <c r="B8" s="205">
        <v>400</v>
      </c>
      <c r="C8" s="205">
        <v>460</v>
      </c>
      <c r="D8" s="213">
        <f t="shared" si="0"/>
        <v>0.1499999999999999</v>
      </c>
    </row>
    <row r="9" spans="1:4" s="204" customFormat="1" ht="15" customHeight="1" thickBot="1">
      <c r="A9" s="217" t="s">
        <v>43</v>
      </c>
      <c r="B9" s="218">
        <f>SUM(B4:B8)</f>
        <v>4406</v>
      </c>
      <c r="C9" s="218">
        <f>SUM(C4:C8)</f>
        <v>4888</v>
      </c>
      <c r="D9" s="219">
        <f t="shared" si="0"/>
        <v>0.10939627780299599</v>
      </c>
    </row>
  </sheetData>
  <sheetProtection/>
  <printOptions/>
  <pageMargins left="0.75" right="0.75" top="1" bottom="1" header="0.5" footer="0.5"/>
  <pageSetup horizontalDpi="600" verticalDpi="600" orientation="landscape" r:id="rId2"/>
  <headerFooter alignWithMargins="0">
    <oddFooter>&amp;LVVKSO telling 2010&amp;CCijfers HBO5 per provincie&amp;R&amp;P/&amp;N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Q39" sqref="Q39"/>
    </sheetView>
  </sheetViews>
  <sheetFormatPr defaultColWidth="9.140625" defaultRowHeight="12.75"/>
  <cols>
    <col min="1" max="1" width="21.7109375" style="0" customWidth="1"/>
    <col min="2" max="2" width="8.8515625" style="0" customWidth="1"/>
    <col min="3" max="4" width="8.8515625" style="0" hidden="1" customWidth="1"/>
    <col min="5" max="5" width="10.28125" style="0" bestFit="1" customWidth="1"/>
    <col min="6" max="7" width="8.8515625" style="0" hidden="1" customWidth="1"/>
    <col min="8" max="8" width="10.28125" style="0" bestFit="1" customWidth="1"/>
    <col min="10" max="10" width="13.00390625" style="0" bestFit="1" customWidth="1"/>
  </cols>
  <sheetData>
    <row r="1" spans="3:9" ht="12.75">
      <c r="C1" s="223" t="s">
        <v>57</v>
      </c>
      <c r="D1" s="223" t="s">
        <v>58</v>
      </c>
      <c r="E1" s="223"/>
      <c r="F1" s="223" t="s">
        <v>57</v>
      </c>
      <c r="G1" s="223" t="s">
        <v>59</v>
      </c>
      <c r="H1" s="220"/>
      <c r="I1" s="220"/>
    </row>
    <row r="2" spans="1:10" ht="13.5" thickBot="1">
      <c r="A2" s="109" t="s">
        <v>44</v>
      </c>
      <c r="B2" s="10"/>
      <c r="C2" s="223">
        <v>2009</v>
      </c>
      <c r="D2" s="223">
        <v>2009</v>
      </c>
      <c r="E2" s="223" t="s">
        <v>54</v>
      </c>
      <c r="F2" s="223">
        <v>2010</v>
      </c>
      <c r="G2" s="223">
        <v>2010</v>
      </c>
      <c r="H2" s="222" t="s">
        <v>55</v>
      </c>
      <c r="I2" s="222" t="s">
        <v>56</v>
      </c>
      <c r="J2" s="222" t="s">
        <v>60</v>
      </c>
    </row>
    <row r="3" spans="1:2" ht="13.5" hidden="1" thickBot="1">
      <c r="A3" s="66" t="s">
        <v>0</v>
      </c>
      <c r="B3" s="102" t="s">
        <v>1</v>
      </c>
    </row>
    <row r="4" spans="1:2" ht="13.5" hidden="1" thickBot="1">
      <c r="A4" s="78" t="s">
        <v>0</v>
      </c>
      <c r="B4" s="32" t="s">
        <v>2</v>
      </c>
    </row>
    <row r="5" spans="1:2" ht="13.5" hidden="1" thickBot="1">
      <c r="A5" s="78" t="s">
        <v>18</v>
      </c>
      <c r="B5" s="32" t="s">
        <v>1</v>
      </c>
    </row>
    <row r="6" spans="1:2" ht="13.5" hidden="1" thickBot="1">
      <c r="A6" s="104" t="s">
        <v>28</v>
      </c>
      <c r="B6" s="32" t="s">
        <v>2</v>
      </c>
    </row>
    <row r="7" spans="1:2" ht="13.5" hidden="1" thickBot="1">
      <c r="A7" s="78" t="s">
        <v>21</v>
      </c>
      <c r="B7" s="32" t="s">
        <v>22</v>
      </c>
    </row>
    <row r="8" spans="1:2" ht="13.5" hidden="1" thickBot="1">
      <c r="A8" s="174" t="s">
        <v>21</v>
      </c>
      <c r="B8" s="175" t="s">
        <v>23</v>
      </c>
    </row>
    <row r="9" spans="1:10" ht="13.5" thickBot="1">
      <c r="A9" s="247" t="s">
        <v>37</v>
      </c>
      <c r="B9" s="248"/>
      <c r="C9" s="205">
        <v>2012</v>
      </c>
      <c r="D9" s="205">
        <v>1005</v>
      </c>
      <c r="E9" s="205">
        <f>SUM(C9:D9)</f>
        <v>3017</v>
      </c>
      <c r="F9" s="205">
        <v>2125</v>
      </c>
      <c r="G9" s="205">
        <v>1104</v>
      </c>
      <c r="H9" s="205">
        <f>SUM(F9:G9)</f>
        <v>3229</v>
      </c>
      <c r="I9" s="188">
        <f aca="true" t="shared" si="0" ref="I9:I17">H9/E9-1</f>
        <v>0.07026847862114693</v>
      </c>
      <c r="J9" s="221">
        <f>H9-E9</f>
        <v>212</v>
      </c>
    </row>
    <row r="10" spans="1:10" ht="13.5" hidden="1" thickBot="1">
      <c r="A10" s="78" t="s">
        <v>12</v>
      </c>
      <c r="B10" s="28" t="s">
        <v>14</v>
      </c>
      <c r="C10">
        <v>249</v>
      </c>
      <c r="E10">
        <f aca="true" t="shared" si="1" ref="E10:E25">SUM(C10:D10)</f>
        <v>249</v>
      </c>
      <c r="F10">
        <v>305</v>
      </c>
      <c r="H10">
        <f aca="true" t="shared" si="2" ref="H10:H25">SUM(F10:G10)</f>
        <v>305</v>
      </c>
      <c r="I10" s="188">
        <f t="shared" si="0"/>
        <v>0.2248995983935742</v>
      </c>
      <c r="J10" s="221">
        <f aca="true" t="shared" si="3" ref="J10:J25">H10-E10</f>
        <v>56</v>
      </c>
    </row>
    <row r="11" spans="1:10" ht="13.5" hidden="1" thickBot="1">
      <c r="A11" s="78" t="s">
        <v>3</v>
      </c>
      <c r="B11" s="28" t="s">
        <v>4</v>
      </c>
      <c r="C11">
        <v>541</v>
      </c>
      <c r="E11">
        <f t="shared" si="1"/>
        <v>541</v>
      </c>
      <c r="F11">
        <v>624</v>
      </c>
      <c r="H11">
        <f t="shared" si="2"/>
        <v>624</v>
      </c>
      <c r="I11" s="188">
        <f t="shared" si="0"/>
        <v>0.15341959334565614</v>
      </c>
      <c r="J11" s="221">
        <f t="shared" si="3"/>
        <v>83</v>
      </c>
    </row>
    <row r="12" spans="1:10" ht="13.5" hidden="1" thickBot="1">
      <c r="A12" s="105" t="s">
        <v>7</v>
      </c>
      <c r="B12" s="33" t="s">
        <v>4</v>
      </c>
      <c r="C12">
        <v>528</v>
      </c>
      <c r="E12">
        <f t="shared" si="1"/>
        <v>528</v>
      </c>
      <c r="F12">
        <v>647</v>
      </c>
      <c r="H12">
        <f t="shared" si="2"/>
        <v>647</v>
      </c>
      <c r="I12" s="188">
        <f t="shared" si="0"/>
        <v>0.22537878787878785</v>
      </c>
      <c r="J12" s="221">
        <f t="shared" si="3"/>
        <v>119</v>
      </c>
    </row>
    <row r="13" spans="1:10" ht="13.5" hidden="1" thickBot="1">
      <c r="A13" s="78" t="s">
        <v>12</v>
      </c>
      <c r="B13" s="28" t="s">
        <v>13</v>
      </c>
      <c r="C13">
        <v>201</v>
      </c>
      <c r="E13">
        <f t="shared" si="1"/>
        <v>201</v>
      </c>
      <c r="F13">
        <v>277</v>
      </c>
      <c r="H13">
        <f t="shared" si="2"/>
        <v>277</v>
      </c>
      <c r="I13" s="188">
        <f t="shared" si="0"/>
        <v>0.37810945273631846</v>
      </c>
      <c r="J13" s="221">
        <f t="shared" si="3"/>
        <v>76</v>
      </c>
    </row>
    <row r="14" spans="1:10" ht="13.5" thickBot="1">
      <c r="A14" s="240" t="s">
        <v>39</v>
      </c>
      <c r="B14" s="241"/>
      <c r="C14" s="206">
        <v>1293</v>
      </c>
      <c r="D14" s="206">
        <v>1295</v>
      </c>
      <c r="E14" s="206">
        <f>SUM(C14:D14)</f>
        <v>2588</v>
      </c>
      <c r="F14" s="206">
        <v>1551</v>
      </c>
      <c r="G14" s="206">
        <v>1371</v>
      </c>
      <c r="H14" s="206">
        <f>SUM(F14:G14)</f>
        <v>2922</v>
      </c>
      <c r="I14" s="188">
        <f t="shared" si="0"/>
        <v>0.12905718701700164</v>
      </c>
      <c r="J14" s="221">
        <f>H14-E14</f>
        <v>334</v>
      </c>
    </row>
    <row r="15" spans="1:10" ht="13.5" thickBot="1">
      <c r="A15" s="228" t="s">
        <v>61</v>
      </c>
      <c r="B15" s="229"/>
      <c r="C15" s="205">
        <f>'Per HS'!H27+'Per HS'!H25+'Per HS'!H24</f>
        <v>979</v>
      </c>
      <c r="D15" s="205">
        <v>400</v>
      </c>
      <c r="E15" s="205">
        <v>1379</v>
      </c>
      <c r="F15" s="205">
        <f>'Per HS'!I27+'Per HS'!I25+'Per HS'!I24</f>
        <v>1152</v>
      </c>
      <c r="G15" s="205">
        <v>460</v>
      </c>
      <c r="H15" s="205">
        <v>1612</v>
      </c>
      <c r="I15" s="188">
        <f t="shared" si="0"/>
        <v>0.1689630166787528</v>
      </c>
      <c r="J15" s="221">
        <f>H15-E15</f>
        <v>233</v>
      </c>
    </row>
    <row r="16" spans="1:10" ht="13.5" thickBot="1">
      <c r="A16" s="242" t="s">
        <v>40</v>
      </c>
      <c r="B16" s="243"/>
      <c r="C16" s="205">
        <v>802</v>
      </c>
      <c r="D16" s="205">
        <v>743</v>
      </c>
      <c r="E16" s="205">
        <f>SUM(C16:D16)</f>
        <v>1545</v>
      </c>
      <c r="F16" s="205">
        <v>940</v>
      </c>
      <c r="G16" s="205">
        <v>851</v>
      </c>
      <c r="H16" s="205">
        <f>SUM(F16:G16)</f>
        <v>1791</v>
      </c>
      <c r="I16" s="188">
        <f t="shared" si="0"/>
        <v>0.1592233009708739</v>
      </c>
      <c r="J16" s="221">
        <f>H16-E16</f>
        <v>246</v>
      </c>
    </row>
    <row r="17" spans="1:10" ht="13.5" thickBot="1">
      <c r="A17" s="238" t="s">
        <v>38</v>
      </c>
      <c r="B17" s="239"/>
      <c r="C17" s="205">
        <v>1519</v>
      </c>
      <c r="D17" s="205">
        <v>963</v>
      </c>
      <c r="E17" s="205">
        <f>SUM(C17:D17)</f>
        <v>2482</v>
      </c>
      <c r="F17" s="205">
        <v>1853</v>
      </c>
      <c r="G17" s="205">
        <v>1102</v>
      </c>
      <c r="H17" s="205">
        <f t="shared" si="2"/>
        <v>2955</v>
      </c>
      <c r="I17" s="188">
        <f t="shared" si="0"/>
        <v>0.19057211925866246</v>
      </c>
      <c r="J17" s="221">
        <f t="shared" si="3"/>
        <v>473</v>
      </c>
    </row>
    <row r="18" spans="1:10" ht="13.5" hidden="1" thickBot="1">
      <c r="A18" s="78" t="s">
        <v>15</v>
      </c>
      <c r="B18" s="34" t="s">
        <v>16</v>
      </c>
      <c r="C18">
        <v>474</v>
      </c>
      <c r="E18">
        <f t="shared" si="1"/>
        <v>474</v>
      </c>
      <c r="F18">
        <v>544</v>
      </c>
      <c r="H18">
        <f t="shared" si="2"/>
        <v>544</v>
      </c>
      <c r="I18" s="188">
        <f aca="true" t="shared" si="4" ref="I18:I25">H18/E18-1</f>
        <v>0.14767932489451474</v>
      </c>
      <c r="J18" s="221">
        <f t="shared" si="3"/>
        <v>70</v>
      </c>
    </row>
    <row r="19" spans="1:10" ht="13.5" hidden="1" thickBot="1">
      <c r="A19" s="78" t="s">
        <v>15</v>
      </c>
      <c r="B19" s="34" t="s">
        <v>17</v>
      </c>
      <c r="C19">
        <v>377</v>
      </c>
      <c r="E19">
        <f t="shared" si="1"/>
        <v>377</v>
      </c>
      <c r="F19">
        <v>399</v>
      </c>
      <c r="H19">
        <f t="shared" si="2"/>
        <v>399</v>
      </c>
      <c r="I19" s="188">
        <f t="shared" si="4"/>
        <v>0.05835543766578244</v>
      </c>
      <c r="J19" s="221">
        <f t="shared" si="3"/>
        <v>22</v>
      </c>
    </row>
    <row r="20" spans="1:10" ht="13.5" hidden="1" thickBot="1">
      <c r="A20" s="78" t="s">
        <v>19</v>
      </c>
      <c r="B20" s="34" t="s">
        <v>20</v>
      </c>
      <c r="C20">
        <v>352</v>
      </c>
      <c r="E20">
        <f t="shared" si="1"/>
        <v>352</v>
      </c>
      <c r="F20">
        <v>346</v>
      </c>
      <c r="H20">
        <f t="shared" si="2"/>
        <v>346</v>
      </c>
      <c r="I20" s="188">
        <f t="shared" si="4"/>
        <v>-0.017045454545454586</v>
      </c>
      <c r="J20" s="221">
        <f t="shared" si="3"/>
        <v>-6</v>
      </c>
    </row>
    <row r="21" spans="1:10" ht="13.5" hidden="1" thickBot="1">
      <c r="A21" s="78" t="s">
        <v>8</v>
      </c>
      <c r="B21" s="34" t="s">
        <v>9</v>
      </c>
      <c r="C21">
        <v>90</v>
      </c>
      <c r="E21">
        <f t="shared" si="1"/>
        <v>90</v>
      </c>
      <c r="F21">
        <v>262</v>
      </c>
      <c r="H21">
        <f t="shared" si="2"/>
        <v>262</v>
      </c>
      <c r="I21" s="188">
        <f t="shared" si="4"/>
        <v>1.911111111111111</v>
      </c>
      <c r="J21" s="221">
        <f t="shared" si="3"/>
        <v>172</v>
      </c>
    </row>
    <row r="22" spans="1:10" ht="13.5" hidden="1" thickBot="1">
      <c r="A22" s="78" t="s">
        <v>26</v>
      </c>
      <c r="B22" s="37" t="s">
        <v>27</v>
      </c>
      <c r="C22">
        <v>443</v>
      </c>
      <c r="E22">
        <f t="shared" si="1"/>
        <v>443</v>
      </c>
      <c r="F22">
        <v>558</v>
      </c>
      <c r="H22">
        <f t="shared" si="2"/>
        <v>558</v>
      </c>
      <c r="I22" s="188">
        <f t="shared" si="4"/>
        <v>0.2595936794582392</v>
      </c>
      <c r="J22" s="221">
        <f t="shared" si="3"/>
        <v>115</v>
      </c>
    </row>
    <row r="23" spans="1:10" ht="13.5" hidden="1" thickBot="1">
      <c r="A23" s="78" t="s">
        <v>29</v>
      </c>
      <c r="B23" s="37" t="s">
        <v>27</v>
      </c>
      <c r="C23">
        <v>359</v>
      </c>
      <c r="E23">
        <f t="shared" si="1"/>
        <v>359</v>
      </c>
      <c r="F23">
        <v>382</v>
      </c>
      <c r="H23">
        <f t="shared" si="2"/>
        <v>382</v>
      </c>
      <c r="I23" s="188">
        <f t="shared" si="4"/>
        <v>0.06406685236768794</v>
      </c>
      <c r="J23" s="221">
        <f t="shared" si="3"/>
        <v>23</v>
      </c>
    </row>
    <row r="24" spans="1:10" ht="13.5" hidden="1" thickBot="1">
      <c r="A24" s="78" t="s">
        <v>5</v>
      </c>
      <c r="B24" s="88" t="s">
        <v>6</v>
      </c>
      <c r="C24">
        <v>219</v>
      </c>
      <c r="E24">
        <f t="shared" si="1"/>
        <v>219</v>
      </c>
      <c r="F24">
        <v>248</v>
      </c>
      <c r="H24">
        <f t="shared" si="2"/>
        <v>248</v>
      </c>
      <c r="I24" s="188">
        <f t="shared" si="4"/>
        <v>0.13242009132420085</v>
      </c>
      <c r="J24" s="221">
        <f t="shared" si="3"/>
        <v>29</v>
      </c>
    </row>
    <row r="25" spans="1:10" ht="13.5" hidden="1" thickBot="1">
      <c r="A25" s="78" t="s">
        <v>10</v>
      </c>
      <c r="B25" s="88" t="s">
        <v>11</v>
      </c>
      <c r="C25">
        <v>103</v>
      </c>
      <c r="E25">
        <f t="shared" si="1"/>
        <v>103</v>
      </c>
      <c r="F25">
        <v>161</v>
      </c>
      <c r="H25">
        <f t="shared" si="2"/>
        <v>161</v>
      </c>
      <c r="I25" s="188">
        <f t="shared" si="4"/>
        <v>0.5631067961165048</v>
      </c>
      <c r="J25" s="221">
        <f t="shared" si="3"/>
        <v>58</v>
      </c>
    </row>
    <row r="26" spans="3:10" ht="12.75">
      <c r="C26" s="224">
        <f>C9+C14+C15+C16+C17</f>
        <v>6605</v>
      </c>
      <c r="D26" s="224">
        <f>SUM(D9:D25)</f>
        <v>4406</v>
      </c>
      <c r="E26" s="224">
        <f>E9+E14+E15+E16+E17</f>
        <v>11011</v>
      </c>
      <c r="F26" s="224">
        <f>F9+F14+F15+F16+F17</f>
        <v>7621</v>
      </c>
      <c r="G26" s="224">
        <f>G9+G14+G15+G16+G17</f>
        <v>4888</v>
      </c>
      <c r="H26" s="224">
        <f>H9+H14+H15+H16+H17</f>
        <v>12509</v>
      </c>
      <c r="I26" s="188">
        <f>H26/E26-1</f>
        <v>0.13604577240940885</v>
      </c>
      <c r="J26" s="221">
        <f>H26-E26</f>
        <v>1498</v>
      </c>
    </row>
  </sheetData>
  <sheetProtection/>
  <mergeCells count="5">
    <mergeCell ref="A15:B15"/>
    <mergeCell ref="A9:B9"/>
    <mergeCell ref="A17:B17"/>
    <mergeCell ref="A14:B14"/>
    <mergeCell ref="A16:B16"/>
  </mergeCells>
  <printOptions/>
  <pageMargins left="0.75" right="0.75" top="1" bottom="1" header="0.5" footer="0.5"/>
  <pageSetup horizontalDpi="600" verticalDpi="600" orientation="landscape" r:id="rId2"/>
  <headerFooter alignWithMargins="0">
    <oddFooter>&amp;LVHLORA Telling en VVKSO&amp;CTotaal HBO5 en Bachelor per provincie&amp;R&amp;P/&amp;N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K.U.Leuven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u0011890</dc:creator>
  <cp:keywords/>
  <dc:description/>
  <cp:lastModifiedBy>standaard</cp:lastModifiedBy>
  <cp:lastPrinted>2011-05-04T21:54:08Z</cp:lastPrinted>
  <dcterms:created xsi:type="dcterms:W3CDTF">2010-10-12T09:45:22Z</dcterms:created>
  <dcterms:modified xsi:type="dcterms:W3CDTF">2011-05-04T21:54:26Z</dcterms:modified>
  <cp:category/>
  <cp:version/>
  <cp:contentType/>
  <cp:contentStatus/>
</cp:coreProperties>
</file>